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T0V+6mOKhEhpC8WMStc5XLNPUy71Zx3HZO2szDnIwxe8NRWvLOtD6uW6PZ9BFyzPXXKn8lMlXHnGYuW993YPw==" workbookSaltValue="LS2gzwqOQ8F8ZUJd3U7X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J32" i="20"/>
  <c r="U12" i="11"/>
  <c r="G14" i="14"/>
  <c r="W32" i="20"/>
  <c r="AJ32" i="20"/>
  <c r="G30" i="14"/>
  <c r="G23" i="14"/>
  <c r="U18" i="11"/>
  <c r="AX32" i="20"/>
  <c r="Y32" i="20"/>
  <c r="L32" i="20"/>
  <c r="AG32" i="20"/>
  <c r="H32" i="20"/>
  <c r="T32" i="21"/>
  <c r="F32" i="20"/>
  <c r="AF32" i="20"/>
  <c r="G26" i="14"/>
  <c r="S32" i="20"/>
  <c r="K32" i="20"/>
  <c r="AQ32" i="21"/>
  <c r="O17" i="11"/>
  <c r="M32" i="20"/>
  <c r="AI32" i="20"/>
  <c r="AM32" i="20"/>
  <c r="U10" i="11"/>
  <c r="I32" i="20"/>
  <c r="Q32" i="20"/>
  <c r="AK32" i="20"/>
  <c r="AE32" i="20"/>
  <c r="AU32" i="20"/>
  <c r="AZ32" i="20"/>
  <c r="O18" i="11"/>
  <c r="R32" i="20"/>
  <c r="BF17" i="8" l="1"/>
  <c r="J29" i="2"/>
  <c r="BH30" i="16"/>
  <c r="S13" i="14"/>
  <c r="V13" i="14" s="1"/>
  <c r="S18" i="14"/>
  <c r="V18" i="14" s="1"/>
  <c r="R11" i="14"/>
  <c r="R22"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O32" i="20"/>
  <c r="T32" i="20"/>
  <c r="AA32" i="20"/>
  <c r="AN32" i="20"/>
  <c r="AD32" i="20"/>
  <c r="AC32" i="20"/>
  <c r="AV32" i="20"/>
  <c r="O10" i="11"/>
  <c r="AP32" i="20"/>
  <c r="U17" i="11"/>
  <c r="W32" i="21"/>
  <c r="AQ32" i="20"/>
  <c r="AB32" i="20"/>
  <c r="N32" i="20"/>
  <c r="AL32" i="20"/>
  <c r="AH32" i="20"/>
  <c r="X32" i="20"/>
  <c r="K17" i="12" l="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BH9" i="16"/>
  <c r="BF13" i="11"/>
  <c r="BH16" i="16"/>
  <c r="BF28" i="11"/>
  <c r="BG20" i="11"/>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V16" i="11"/>
  <c r="BG25" i="11"/>
  <c r="Q18" i="20"/>
  <c r="Q23" i="20" s="1"/>
  <c r="BF18" i="11"/>
  <c r="BG22" i="11"/>
  <c r="V12" i="21"/>
  <c r="AP21" i="20"/>
  <c r="R10" i="21"/>
  <c r="BM16" i="11"/>
  <c r="BU16" i="17"/>
  <c r="BW25" i="20"/>
  <c r="U13" i="17"/>
  <c r="BV29" i="16"/>
  <c r="AZ17" i="11"/>
  <c r="BL28" i="11"/>
  <c r="BH10" i="16"/>
  <c r="BK22" i="11"/>
  <c r="L22" i="2"/>
  <c r="S16" i="17"/>
  <c r="S17" i="17"/>
  <c r="X19" i="16"/>
  <c r="U9" i="17"/>
  <c r="U31" i="17" s="1"/>
  <c r="V25" i="16"/>
  <c r="AZ19" i="11"/>
  <c r="AZ18" i="11"/>
  <c r="BJ11" i="11"/>
  <c r="BG16" i="11"/>
  <c r="BL13" i="11"/>
  <c r="BJ25" i="11"/>
  <c r="X20" i="16"/>
  <c r="BW29" i="20"/>
  <c r="BV9" i="16"/>
  <c r="BG12" i="11"/>
  <c r="BI20" i="11"/>
  <c r="BI9" i="11"/>
  <c r="BL10" i="11"/>
  <c r="BH11" i="11"/>
  <c r="S18" i="17"/>
  <c r="BM9" i="11"/>
  <c r="BH12" i="16"/>
  <c r="L9" i="2"/>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H32" i="11"/>
  <c r="J32" i="17"/>
  <c r="X32" i="11"/>
  <c r="AS32" i="16"/>
  <c r="L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11"/>
  <c r="AN32" i="21"/>
  <c r="AH32" i="11"/>
  <c r="Q32" i="21"/>
  <c r="AK32" i="17"/>
  <c r="AO32" i="17"/>
  <c r="AT32" i="20"/>
  <c r="E32" i="11"/>
  <c r="AE32" i="11"/>
  <c r="V32" i="20"/>
  <c r="AP32" i="21"/>
  <c r="AH32" i="21"/>
  <c r="AP32" i="16"/>
  <c r="T32" i="16"/>
  <c r="Y32" i="17"/>
  <c r="AT32" i="16"/>
  <c r="O32" i="21"/>
  <c r="AV32" i="17"/>
  <c r="AO32" i="11"/>
  <c r="AW32" i="21"/>
  <c r="U32" i="17"/>
  <c r="AZ32" i="16"/>
  <c r="Q32" i="16"/>
  <c r="M32" i="17"/>
  <c r="Z32" i="16"/>
  <c r="V32" i="17"/>
  <c r="AN32" i="17"/>
  <c r="BS32" i="16"/>
  <c r="BC32" i="21"/>
  <c r="L32" i="11"/>
  <c r="H32" i="12"/>
  <c r="V32" i="11"/>
  <c r="P32" i="11"/>
  <c r="X32" i="21"/>
  <c r="AE32" i="21"/>
  <c r="AY32" i="16"/>
  <c r="AY32" i="21"/>
  <c r="AU32" i="16"/>
  <c r="AA32" i="17"/>
  <c r="O32" i="17"/>
  <c r="AB32" i="21"/>
  <c r="X32" i="17"/>
  <c r="BD32" i="21"/>
  <c r="AS32" i="21"/>
  <c r="H32" i="16"/>
  <c r="AA32" i="11"/>
  <c r="AC32" i="11"/>
  <c r="AO32" i="21"/>
  <c r="AM32" i="17"/>
  <c r="N32" i="21"/>
  <c r="S32" i="21"/>
  <c r="AW32" i="17"/>
  <c r="L32" i="21"/>
  <c r="AF32" i="11"/>
  <c r="AK32" i="16"/>
  <c r="AL32" i="17"/>
  <c r="I32" i="21"/>
  <c r="U32" i="11"/>
  <c r="S32" i="16"/>
  <c r="AR32" i="17"/>
  <c r="Y32" i="11"/>
  <c r="AB32" i="16"/>
  <c r="AG32" i="11"/>
  <c r="AD32" i="21"/>
  <c r="K32" i="21"/>
  <c r="AF32" i="17"/>
  <c r="BF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<sst xmlns="http://schemas.openxmlformats.org/spreadsheetml/2006/main" count="2682" uniqueCount="1193">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</sst>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g7ZwdCea2rpGX4YlKze7whtzJXFDQL1a5xLJ6PgZfnoST6/s1oHj65eW2gQj6IhHm/2ScciSoBIdVijOTcyvg==" saltValue="qL7ZiQbmI0WTXYlnw3OM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7</v>
      </c>
      <c r="F10" s="240">
        <f>IF(ISNUMBER(Datos!K10),Datos!K10," - ")</f>
        <v>6</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3.8461538461538464E-2</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29.407258064516128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527</v>
      </c>
      <c r="D17" s="239">
        <f>IF(ISNUMBER(IF(D_I="SI",Datos!I17,Datos!I17+Datos!AC17)),IF(D_I="SI",Datos!I17,Datos!I17+Datos!AC17)," - ")</f>
        <v>523</v>
      </c>
      <c r="E17" s="240">
        <f>IF(ISNUMBER(IF(D_I="SI",Datos!J17,Datos!J17+Datos!AD17)),IF(D_I="SI",Datos!J17,Datos!J17+Datos!AD17)," - ")</f>
        <v>389</v>
      </c>
      <c r="F17" s="240">
        <f>IF(ISNUMBER(IF(D_I="SI",Datos!K17,Datos!K17+Datos!AE17)),IF(D_I="SI",Datos!K17,Datos!K17+Datos!AE17)," - ")</f>
        <v>353</v>
      </c>
      <c r="G17" s="1390" t="str">
        <f>IF(Datos!E17&lt;&gt;"",Datos!E17,Datos!D17)</f>
        <v>04</v>
      </c>
      <c r="H17" s="241">
        <f>IF(ISNUMBER(IF(D_I="SI",Datos!L17,Datos!L17+Datos!AF17)),IF(D_I="SI",Datos!L17,Datos!L17+Datos!AF17)," - ")</f>
        <v>563</v>
      </c>
      <c r="I17" s="1400" t="str">
        <f>IF(ISNUMBER(Datos!AS17/Datos!BM17),Datos!AS17/Datos!BM17," - ")</f>
        <v xml:space="preserve"> - </v>
      </c>
      <c r="J17" s="1401">
        <f>IF(ISNUMBER(Datos!BY17/Datos!CN17),Datos!BY17/Datos!CN17," - ")</f>
        <v>0</v>
      </c>
      <c r="K17" s="244">
        <f t="shared" si="3"/>
        <v>6.8311195445920306E-2</v>
      </c>
      <c r="L17" s="1402">
        <f>IF(ISNUMBER(NºAsuntos!I17/NºAsuntos!G17),(NºAsuntos!I17/NºAsuntos!G17)*11," - ")</f>
        <v>17.543909348441929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40</v>
      </c>
      <c r="E18" s="240">
        <f>IF(ISNUMBER(IF(D_I="SI",Datos!J18,Datos!J18+Datos!AD18)),IF(D_I="SI",Datos!J18,Datos!J18+Datos!AD18)," - ")</f>
        <v>72</v>
      </c>
      <c r="F18" s="240">
        <f>IF(ISNUMBER(IF(D_I="SI",Datos!K18,Datos!K18+Datos!AE18)),IF(D_I="SI",Datos!K18,Datos!K18+Datos!AE18)," - ")</f>
        <v>55</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0.40476190476190477</v>
      </c>
      <c r="L18" s="1402">
        <f>IF(ISNUMBER(NºAsuntos!I18/NºAsuntos!G18),(NºAsuntos!I18/NºAsuntos!G18)*11," - ")</f>
        <v>11.8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569</v>
      </c>
      <c r="D23" s="1407">
        <f>SUBTOTAL(9,D16:D22)</f>
        <v>563</v>
      </c>
      <c r="E23" s="1408">
        <f>SUBTOTAL(9,E16:E22)</f>
        <v>461</v>
      </c>
      <c r="F23" s="1408">
        <f>SUBTOTAL(9,F16:F22)</f>
        <v>408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595</v>
      </c>
      <c r="D31" s="1435">
        <f>SUBTOTAL(9,D9:D30)</f>
        <v>589</v>
      </c>
      <c r="E31" s="1436">
        <f>SUBTOTAL(9,E9:E30)</f>
        <v>468</v>
      </c>
      <c r="F31" s="1436">
        <f>SUBTOTAL(9,F9:F30)</f>
        <v>414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Mq3i33rimxCwHcNJWokkFTlyERZeNWgtOv/YR2QHlLFjYqBSyJwxhSfEUov1t5POXchDy/s7/lbVTu5LXzusg==" saltValue="Xp0YNOwtCi+Jz1UChf5q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SNMDgT8xvnfiHl3cY222Z0OW7VmKMPEA1RhGyinVdBbBDI5j4lez6u3Lr27JEow97RJ5LNhRi6I3I3U7lvsOQ==" saltValue="oa78+MnZF2FjxYWjmwSc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7</v>
      </c>
      <c r="K10" s="194">
        <v>6</v>
      </c>
      <c r="L10" s="194">
        <v>27</v>
      </c>
      <c r="M10" s="194">
        <v>4</v>
      </c>
      <c r="N10" s="194">
        <v>1</v>
      </c>
      <c r="O10" s="194">
        <v>1</v>
      </c>
      <c r="P10" s="194">
        <v>0</v>
      </c>
      <c r="Q10" s="194">
        <v>0</v>
      </c>
      <c r="R10" s="194">
        <v>0</v>
      </c>
      <c r="S10" s="194">
        <v>15</v>
      </c>
      <c r="T10" s="194">
        <v>1</v>
      </c>
      <c r="U10" s="194">
        <v>5</v>
      </c>
      <c r="V10" s="194">
        <v>11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v>
      </c>
      <c r="BA10" s="139">
        <f t="shared" si="0"/>
        <v>5</v>
      </c>
      <c r="BB10" s="139">
        <f t="shared" si="0"/>
        <v>11</v>
      </c>
      <c r="BC10" s="135">
        <f t="shared" si="0"/>
        <v>0</v>
      </c>
      <c r="BD10" s="136">
        <f>IF(ISNUMBER(BA10/AZ10),BA10/AZ10," - ")</f>
        <v>5</v>
      </c>
      <c r="BE10" s="137">
        <f>IF(ISNUMBER(BB10/BA10),BB10/BA10, " - ")</f>
        <v>2.2000000000000002</v>
      </c>
      <c r="BF10" s="137">
        <f>IF(ISNUMBER(BC10/BA10),BC10/BA10, " - ")</f>
        <v>0</v>
      </c>
      <c r="BG10" s="209">
        <f>IF(ISNUMBER((AY10+AZ10)/BA10),(AY10+AZ10)/BA10," - ")</f>
        <v>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1326</v>
      </c>
      <c r="J12" s="196">
        <v>403</v>
      </c>
      <c r="K12" s="196">
        <v>441</v>
      </c>
      <c r="L12" s="196">
        <v>1288</v>
      </c>
      <c r="M12" s="196">
        <v>100</v>
      </c>
      <c r="N12" s="196">
        <v>147</v>
      </c>
      <c r="O12" s="194">
        <v>235</v>
      </c>
      <c r="P12" s="196">
        <v>129</v>
      </c>
      <c r="Q12" s="196">
        <v>78</v>
      </c>
      <c r="R12" s="196">
        <v>2500</v>
      </c>
      <c r="S12" s="196">
        <v>1269</v>
      </c>
      <c r="T12" s="196">
        <v>278</v>
      </c>
      <c r="U12" s="196">
        <v>269</v>
      </c>
      <c r="V12" s="196">
        <v>1278</v>
      </c>
      <c r="W12" s="196">
        <v>68</v>
      </c>
      <c r="X12" s="202">
        <v>82</v>
      </c>
      <c r="Y12" s="204">
        <v>68</v>
      </c>
      <c r="Z12" s="194">
        <v>25</v>
      </c>
      <c r="AA12" s="194">
        <v>55</v>
      </c>
      <c r="AB12" s="194">
        <v>38</v>
      </c>
      <c r="AC12" s="196">
        <v>0</v>
      </c>
      <c r="AD12" s="196">
        <v>0</v>
      </c>
      <c r="AE12" s="196">
        <v>0</v>
      </c>
      <c r="AF12" s="202">
        <v>0</v>
      </c>
      <c r="AG12" s="215">
        <v>52</v>
      </c>
      <c r="AH12" s="196">
        <v>40</v>
      </c>
      <c r="AI12" s="196">
        <v>20</v>
      </c>
      <c r="AJ12" s="216">
        <v>72</v>
      </c>
      <c r="AK12" s="195">
        <v>0</v>
      </c>
      <c r="AL12" s="196">
        <v>0</v>
      </c>
      <c r="AM12" s="196">
        <v>0</v>
      </c>
      <c r="AN12" s="202">
        <v>0</v>
      </c>
      <c r="AO12" s="283">
        <v>2</v>
      </c>
      <c r="AP12" s="168">
        <v>2</v>
      </c>
      <c r="AQ12" s="168">
        <v>2</v>
      </c>
      <c r="AR12" s="167">
        <v>2</v>
      </c>
      <c r="AS12" s="381" t="s">
        <v>1075</v>
      </c>
      <c r="AT12" s="216"/>
      <c r="AU12" s="215"/>
      <c r="AV12" s="216"/>
      <c r="AW12" s="215"/>
      <c r="AX12" s="216"/>
      <c r="AY12" s="136">
        <f t="shared" si="1"/>
        <v>1321</v>
      </c>
      <c r="AZ12" s="137">
        <f t="shared" si="1"/>
        <v>318</v>
      </c>
      <c r="BA12" s="137">
        <f t="shared" si="1"/>
        <v>289</v>
      </c>
      <c r="BB12" s="137">
        <f t="shared" si="1"/>
        <v>1350</v>
      </c>
      <c r="BC12" s="135">
        <f>IF(ISNUMBER(X12),X12," - ")</f>
        <v>82</v>
      </c>
      <c r="BD12" s="136">
        <f t="shared" si="2"/>
        <v>0.9088050314465409</v>
      </c>
      <c r="BE12" s="137">
        <f t="shared" si="3"/>
        <v>4.6712802768166091</v>
      </c>
      <c r="BF12" s="137">
        <f t="shared" si="4"/>
        <v>0.2837370242214533</v>
      </c>
      <c r="BG12" s="209">
        <f t="shared" si="5"/>
        <v>5.6712802768166091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1352</v>
      </c>
      <c r="J14" s="197">
        <f t="shared" si="7"/>
        <v>410</v>
      </c>
      <c r="K14" s="197">
        <f t="shared" si="7"/>
        <v>447</v>
      </c>
      <c r="L14" s="197">
        <f t="shared" si="7"/>
        <v>1315</v>
      </c>
      <c r="M14" s="197">
        <f t="shared" si="7"/>
        <v>104</v>
      </c>
      <c r="N14" s="197">
        <f t="shared" si="7"/>
        <v>148</v>
      </c>
      <c r="O14" s="197">
        <f t="shared" si="7"/>
        <v>236</v>
      </c>
      <c r="P14" s="197">
        <f t="shared" si="7"/>
        <v>129</v>
      </c>
      <c r="Q14" s="197">
        <f t="shared" si="7"/>
        <v>78</v>
      </c>
      <c r="R14" s="197">
        <f t="shared" si="7"/>
        <v>2500</v>
      </c>
      <c r="S14" s="197">
        <f t="shared" si="7"/>
        <v>1284</v>
      </c>
      <c r="T14" s="197">
        <f t="shared" si="7"/>
        <v>279</v>
      </c>
      <c r="U14" s="197">
        <f t="shared" si="7"/>
        <v>274</v>
      </c>
      <c r="V14" s="197">
        <f t="shared" si="7"/>
        <v>1289</v>
      </c>
      <c r="W14" s="197">
        <f t="shared" si="7"/>
        <v>68</v>
      </c>
      <c r="X14" s="197">
        <f t="shared" si="7"/>
        <v>83</v>
      </c>
      <c r="Y14" s="197">
        <f t="shared" si="7"/>
        <v>68</v>
      </c>
      <c r="Z14" s="197">
        <f t="shared" si="7"/>
        <v>25</v>
      </c>
      <c r="AA14" s="197">
        <f t="shared" si="7"/>
        <v>55</v>
      </c>
      <c r="AB14" s="197">
        <f t="shared" si="7"/>
        <v>38</v>
      </c>
      <c r="AC14" s="197">
        <f t="shared" si="7"/>
        <v>0</v>
      </c>
      <c r="AD14" s="197">
        <f t="shared" si="7"/>
        <v>0</v>
      </c>
      <c r="AE14" s="197">
        <f t="shared" si="7"/>
        <v>0</v>
      </c>
      <c r="AF14" s="197">
        <f>SUBTOTAL(9,AF9:AF13)</f>
        <v>0</v>
      </c>
      <c r="AG14" s="197">
        <f t="shared" ref="AG14:AT14" si="8">SUBTOTAL(9,AG8:AG13)</f>
        <v>52</v>
      </c>
      <c r="AH14" s="197">
        <f t="shared" si="8"/>
        <v>40</v>
      </c>
      <c r="AI14" s="197">
        <f t="shared" si="8"/>
        <v>20</v>
      </c>
      <c r="AJ14" s="197">
        <f t="shared" si="8"/>
        <v>72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1336</v>
      </c>
      <c r="AZ14" s="197">
        <f>SUBTOTAL(9,AZ8:AZ13)</f>
        <v>319</v>
      </c>
      <c r="BA14" s="197">
        <f>SUBTOTAL(9,BA8:BA13)</f>
        <v>294</v>
      </c>
      <c r="BB14" s="197">
        <f>SUBTOTAL(9,BB8:BB13)</f>
        <v>1361</v>
      </c>
      <c r="BC14" s="197">
        <f>SUBTOTAL(9,BC8:BC13)</f>
        <v>82</v>
      </c>
      <c r="BD14" s="219">
        <f>IF(ISNUMBER(BA14/AZ14),BA14/AZ14," - ")</f>
        <v>0.92163009404388718</v>
      </c>
      <c r="BE14" s="220">
        <f>IF(ISNUMBER(BB14/BA14),BB14/BA14, " - ")</f>
        <v>4.629251700680272</v>
      </c>
      <c r="BF14" s="220">
        <f>IF(ISNUMBER(BC14/BA14),BC14/BA14, " - ")</f>
        <v>0.27891156462585032</v>
      </c>
      <c r="BG14" s="221">
        <f>IF(ISNUMBER((AY14+AZ14)/BA14),(AY14+AZ14)/BA14," - ")</f>
        <v>5.629251700680272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523</v>
      </c>
      <c r="J17" s="196">
        <v>389</v>
      </c>
      <c r="K17" s="196">
        <v>353</v>
      </c>
      <c r="L17" s="196">
        <v>563</v>
      </c>
      <c r="M17" s="196">
        <v>45</v>
      </c>
      <c r="N17" s="196">
        <v>182</v>
      </c>
      <c r="O17" s="194">
        <v>7</v>
      </c>
      <c r="P17" s="196">
        <v>2</v>
      </c>
      <c r="Q17" s="196">
        <v>8</v>
      </c>
      <c r="R17" s="196">
        <v>135</v>
      </c>
      <c r="S17" s="196">
        <v>500</v>
      </c>
      <c r="T17" s="196">
        <v>430</v>
      </c>
      <c r="U17" s="196">
        <v>394</v>
      </c>
      <c r="V17" s="196">
        <v>537</v>
      </c>
      <c r="W17" s="196">
        <v>37</v>
      </c>
      <c r="X17" s="202">
        <v>308</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2</v>
      </c>
      <c r="AP17" s="168">
        <v>2</v>
      </c>
      <c r="AQ17" s="168">
        <v>2</v>
      </c>
      <c r="AR17" s="168">
        <v>2</v>
      </c>
      <c r="AS17" s="381" t="s">
        <v>650</v>
      </c>
      <c r="AT17" s="216"/>
      <c r="AU17" s="215"/>
      <c r="AV17" s="216"/>
      <c r="AW17" s="215"/>
      <c r="AX17" s="216"/>
      <c r="AY17" s="136">
        <f t="shared" si="10"/>
        <v>500</v>
      </c>
      <c r="AZ17" s="137">
        <f t="shared" si="10"/>
        <v>430</v>
      </c>
      <c r="BA17" s="137">
        <f t="shared" si="10"/>
        <v>394</v>
      </c>
      <c r="BB17" s="137">
        <f t="shared" si="10"/>
        <v>537</v>
      </c>
      <c r="BC17" s="135">
        <f>IF(ISNUMBER(W17),W17," - ")</f>
        <v>37</v>
      </c>
      <c r="BD17" s="136">
        <f t="shared" ref="BD17:BD22" si="12">IF(ISNUMBER(BA17/AZ17),BA17/AZ17," - ")</f>
        <v>0.91627906976744189</v>
      </c>
      <c r="BE17" s="137">
        <f t="shared" ref="BE17:BE22" si="13">IF(ISNUMBER(BB17/BA17),BB17/BA17, " - ")</f>
        <v>1.3629441624365481</v>
      </c>
      <c r="BF17" s="137">
        <f t="shared" ref="BF17:BF22" si="14">IF(ISNUMBER(BC17/BA17),BC17/BA17, " - ")</f>
        <v>9.3908629441624369E-2</v>
      </c>
      <c r="BG17" s="209">
        <f t="shared" si="11"/>
        <v>2.3604060913705585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72</v>
      </c>
      <c r="K18" s="196">
        <v>55</v>
      </c>
      <c r="L18" s="196">
        <v>59</v>
      </c>
      <c r="M18" s="196">
        <v>3</v>
      </c>
      <c r="N18" s="196">
        <v>27</v>
      </c>
      <c r="O18" s="196">
        <v>0</v>
      </c>
      <c r="P18" s="196">
        <v>0</v>
      </c>
      <c r="Q18" s="196">
        <v>0</v>
      </c>
      <c r="R18" s="196">
        <v>2</v>
      </c>
      <c r="S18" s="196">
        <v>41</v>
      </c>
      <c r="T18" s="196">
        <v>56</v>
      </c>
      <c r="U18" s="196">
        <v>52</v>
      </c>
      <c r="V18" s="196">
        <v>45</v>
      </c>
      <c r="W18" s="196">
        <v>1</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56</v>
      </c>
      <c r="BA18" s="139">
        <f t="shared" si="15"/>
        <v>52</v>
      </c>
      <c r="BB18" s="139">
        <f t="shared" si="15"/>
        <v>45</v>
      </c>
      <c r="BC18" s="135">
        <f>IF(ISNUMBER(W18),W18," - ")</f>
        <v>1</v>
      </c>
      <c r="BD18" s="136">
        <f>IF(ISNUMBER(BA18/AZ18),BA18/AZ18," - ")</f>
        <v>0.9285714285714286</v>
      </c>
      <c r="BE18" s="137">
        <f>IF(ISNUMBER(BB18/BA18),BB18/BA18, " - ")</f>
        <v>0.86538461538461542</v>
      </c>
      <c r="BF18" s="137">
        <f>IF(ISNUMBER(BC18/BA18),BC18/BA18, " - ")</f>
        <v>1.9230769230769232E-2</v>
      </c>
      <c r="BG18" s="209">
        <f>IF(ISNUMBER((AY18+AZ18)/BA18),(AY18+AZ18)/BA18," - ")</f>
        <v>1.8653846153846154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563</v>
      </c>
      <c r="J23" s="197">
        <f t="shared" si="21"/>
        <v>461</v>
      </c>
      <c r="K23" s="197">
        <f t="shared" si="21"/>
        <v>408</v>
      </c>
      <c r="L23" s="197">
        <f t="shared" si="21"/>
        <v>622</v>
      </c>
      <c r="M23" s="197">
        <f t="shared" si="21"/>
        <v>48</v>
      </c>
      <c r="N23" s="197">
        <f t="shared" si="21"/>
        <v>209</v>
      </c>
      <c r="O23" s="197">
        <f t="shared" si="21"/>
        <v>7</v>
      </c>
      <c r="P23" s="197">
        <f t="shared" si="21"/>
        <v>2</v>
      </c>
      <c r="Q23" s="197">
        <f t="shared" si="21"/>
        <v>8</v>
      </c>
      <c r="R23" s="197">
        <f t="shared" si="21"/>
        <v>137</v>
      </c>
      <c r="S23" s="197">
        <f t="shared" si="21"/>
        <v>541</v>
      </c>
      <c r="T23" s="197">
        <f t="shared" si="21"/>
        <v>486</v>
      </c>
      <c r="U23" s="197">
        <f t="shared" si="21"/>
        <v>446</v>
      </c>
      <c r="V23" s="197">
        <f t="shared" si="21"/>
        <v>582</v>
      </c>
      <c r="W23" s="197">
        <f t="shared" si="21"/>
        <v>38</v>
      </c>
      <c r="X23" s="197">
        <f t="shared" si="21"/>
        <v>344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541</v>
      </c>
      <c r="AZ23" s="197">
        <f>SUBTOTAL(9,AZ15:AZ22)</f>
        <v>486</v>
      </c>
      <c r="BA23" s="197">
        <f>SUBTOTAL(9,BA15:BA22)</f>
        <v>446</v>
      </c>
      <c r="BB23" s="197">
        <f>SUBTOTAL(9,BB15:BB22)</f>
        <v>582</v>
      </c>
      <c r="BC23" s="197">
        <f>SUBTOTAL(9,BC15:BC22)</f>
        <v>38</v>
      </c>
      <c r="BD23" s="219">
        <f>IF(ISNUMBER(BA23/AZ23),BA23/AZ23," - ")</f>
        <v>0.91769547325102885</v>
      </c>
      <c r="BE23" s="220">
        <f>IF(ISNUMBER(BB23/BA23),BB23/BA23, " - ")</f>
        <v>1.304932735426009</v>
      </c>
      <c r="BF23" s="220">
        <f>IF(ISNUMBER(BC23/BA23),BC23/BA23, " - ")</f>
        <v>8.520179372197309E-2</v>
      </c>
      <c r="BG23" s="221">
        <f>IF(ISNUMBER((AY23+AZ23)/BA23),(AY23+AZ23)/BA23," - ")</f>
        <v>2.3026905829596411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1915</v>
      </c>
      <c r="J31" s="144">
        <f t="shared" si="36"/>
        <v>871</v>
      </c>
      <c r="K31" s="144">
        <f t="shared" si="36"/>
        <v>855</v>
      </c>
      <c r="L31" s="144">
        <f t="shared" si="36"/>
        <v>1937</v>
      </c>
      <c r="M31" s="144">
        <f t="shared" si="36"/>
        <v>152</v>
      </c>
      <c r="N31" s="144">
        <f t="shared" si="36"/>
        <v>357</v>
      </c>
      <c r="O31" s="144">
        <f t="shared" si="36"/>
        <v>243</v>
      </c>
      <c r="P31" s="144">
        <f t="shared" si="36"/>
        <v>131</v>
      </c>
      <c r="Q31" s="144">
        <f t="shared" si="36"/>
        <v>86</v>
      </c>
      <c r="R31" s="144">
        <f t="shared" si="36"/>
        <v>2637</v>
      </c>
      <c r="S31" s="144">
        <f t="shared" si="36"/>
        <v>1825</v>
      </c>
      <c r="T31" s="144">
        <f t="shared" si="36"/>
        <v>765</v>
      </c>
      <c r="U31" s="144">
        <f t="shared" si="36"/>
        <v>720</v>
      </c>
      <c r="V31" s="144">
        <f t="shared" si="36"/>
        <v>1871</v>
      </c>
      <c r="W31" s="144">
        <f t="shared" si="36"/>
        <v>106</v>
      </c>
      <c r="X31" s="144">
        <f t="shared" si="36"/>
        <v>427</v>
      </c>
      <c r="Y31" s="144">
        <f t="shared" si="36"/>
        <v>68</v>
      </c>
      <c r="Z31" s="144">
        <f t="shared" si="36"/>
        <v>25</v>
      </c>
      <c r="AA31" s="144">
        <f t="shared" si="36"/>
        <v>55</v>
      </c>
      <c r="AB31" s="144">
        <f t="shared" si="36"/>
        <v>38</v>
      </c>
      <c r="AC31" s="144">
        <f t="shared" si="36"/>
        <v>0</v>
      </c>
      <c r="AD31" s="144">
        <f t="shared" si="36"/>
        <v>0</v>
      </c>
      <c r="AE31" s="144">
        <f t="shared" si="36"/>
        <v>0</v>
      </c>
      <c r="AF31" s="144">
        <f t="shared" si="36"/>
        <v>0</v>
      </c>
      <c r="AG31" s="144">
        <f t="shared" si="36"/>
        <v>52</v>
      </c>
      <c r="AH31" s="144">
        <f t="shared" si="36"/>
        <v>40</v>
      </c>
      <c r="AI31" s="144">
        <f t="shared" si="36"/>
        <v>20</v>
      </c>
      <c r="AJ31" s="144">
        <f t="shared" si="36"/>
        <v>72</v>
      </c>
      <c r="AK31" s="144">
        <f t="shared" si="36"/>
        <v>1</v>
      </c>
      <c r="AL31" s="144">
        <f t="shared" si="36"/>
        <v>0</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1877</v>
      </c>
      <c r="AZ31" s="144">
        <f>SUBTOTAL(9,AZ9:AZ30)</f>
        <v>805</v>
      </c>
      <c r="BA31" s="144">
        <f>SUBTOTAL(9,BA9:BA30)</f>
        <v>740</v>
      </c>
      <c r="BB31" s="144">
        <f>SUBTOTAL(9,BB9:BB30)</f>
        <v>1943</v>
      </c>
      <c r="BC31" s="145">
        <f>SUBTOTAL(9,BC9:BC30)</f>
        <v>120</v>
      </c>
      <c r="BD31" s="227">
        <f>IF(ISNUMBER(BA31/AZ31),BA31/AZ31," - ")</f>
        <v>0.91925465838509313</v>
      </c>
      <c r="BE31" s="224">
        <f>IF(ISNUMBER(BB31/BA31),BB31/BA31, " - ")</f>
        <v>2.6256756756756756</v>
      </c>
      <c r="BF31" s="224">
        <f>IF(ISNUMBER(BC31/BA31),BC31/BA31, " - ")</f>
        <v>0.16216216216216217</v>
      </c>
      <c r="BG31" s="145">
        <f>IF(ISNUMBER((AY31+AZ31)/BA31),(AY31+AZ31)/BA31," - ")</f>
        <v>3.6243243243243244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c2Eto4uh7jB4sRbq9mcl+UskFNMW473xcVHm2Minb066omC1XRTLQ8VjM3xbtvc8UJtAo9MFuDvC3Wqe1z9Q==" saltValue="ImET5bCf6/Go9Tf0l2zZ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80ioxXx4TXdzc/6FXTuCGqW7uMNqWrfxZpHM4Mc2RHkSpfg5y1dyPhd8my2DP6ezNTzNQOjmvflGWjT3GAQLg==" saltValue="2ymoBgko878z77aDGFxA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LEBRIJA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2500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1.1588785046728971</v>
      </c>
      <c r="BH12" s="764">
        <f>IF(ISNUMBER(((IF(J_V="SI",Datos!L12/Datos!K12,(Datos!L12+Datos!AB12)/(Datos!K12+Datos!AA12)))*11)/factor_trimestre),((IF(J_V="SI",Datos!L12/Datos!K12,(Datos!L12+Datos!AB12)/(Datos!K12+Datos!AA12)))*11)/factor_trimestre," - ")</f>
        <v>5.346774193548387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2.08248264597795E-2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78</v>
      </c>
      <c r="AD14" s="1198">
        <f t="shared" si="2"/>
        <v>0</v>
      </c>
      <c r="AE14" s="1198">
        <f t="shared" si="2"/>
        <v>0</v>
      </c>
      <c r="AF14" s="1198">
        <f t="shared" si="2"/>
        <v>27</v>
      </c>
      <c r="AG14" s="1198">
        <f t="shared" si="2"/>
        <v>0</v>
      </c>
      <c r="AH14" s="1198">
        <f t="shared" si="2"/>
        <v>38</v>
      </c>
      <c r="AI14" s="1198">
        <f t="shared" si="2"/>
        <v>0</v>
      </c>
      <c r="AJ14" s="1198">
        <f t="shared" si="2"/>
        <v>0</v>
      </c>
      <c r="AK14" s="1198">
        <f t="shared" si="2"/>
        <v>0</v>
      </c>
      <c r="AL14" s="1198">
        <f t="shared" si="2"/>
        <v>0</v>
      </c>
      <c r="AM14" s="1198">
        <f t="shared" si="2"/>
        <v>2500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148</v>
      </c>
      <c r="BE14" s="1198">
        <f t="shared" si="2"/>
        <v>0</v>
      </c>
      <c r="BF14" s="1198">
        <f t="shared" si="2"/>
        <v>0</v>
      </c>
      <c r="BG14" s="1198">
        <f>IF(ISNUMBER(Datos!K14/Datos!J14),Datos!K14/Datos!J14," - ")</f>
        <v>1.0902439024390245</v>
      </c>
      <c r="BH14" s="1202">
        <f>IF(ISNUMBER(((Datos!L14/Datos!K14)*11)/factor_trimestre),((Datos!L14/Datos!K14)*11)/factor_trimestre," - ")</f>
        <v>5.883668903803132</v>
      </c>
      <c r="BI14" s="1198">
        <f>IF(ISNUMBER('Resol  Asuntos'!D14/NºAsuntos!G14),'Resol  Asuntos'!D14/NºAsuntos!G14," - ")</f>
        <v>0.20717131474103587</v>
      </c>
      <c r="BJ14" s="1198" t="str">
        <f>IF(ISNUMBER(Datos!CI14/Datos!CJ14),Datos!CI14/Datos!CJ14," - ")</f>
        <v xml:space="preserve"> - </v>
      </c>
      <c r="BK14" s="1198">
        <f>SUBTOTAL(9,BK8:BK13)</f>
        <v>0</v>
      </c>
      <c r="BL14" s="1198">
        <f>IF(ISNUMBER((I14-AB14+L14)/(F14)),(I14-AB14+L14)/(F14)," - ")</f>
        <v>-0.23076923076923078</v>
      </c>
      <c r="BM14" s="1203">
        <f>SUBTOTAL(9,BM9:BM13)</f>
        <v>2.08248264597795E-2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527</v>
      </c>
      <c r="G17" s="743">
        <f>IF(ISNUMBER(IF(D_I="SI",Datos!I17,Datos!I17+Datos!AC17)),IF(D_I="SI",Datos!I17,Datos!I17+Datos!AC17)," - ")</f>
        <v>523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353</v>
      </c>
      <c r="AC17" s="240">
        <f>IF(ISNUMBER(Datos!Q17),Datos!Q17," - ")</f>
        <v>8</v>
      </c>
      <c r="AD17" s="374"/>
      <c r="AE17" s="562"/>
      <c r="AF17" s="741">
        <f>IF(ISNUMBER(IF(D_I="SI",Datos!L17,Datos!L17+Datos!AF17)),IF(D_I="SI",Datos!L17,Datos!L17+Datos!AF17)," - ")</f>
        <v>563</v>
      </c>
      <c r="AG17" s="374"/>
      <c r="AH17" s="374"/>
      <c r="AI17" s="374"/>
      <c r="AJ17" s="549"/>
      <c r="AK17" s="374"/>
      <c r="AL17" s="545"/>
      <c r="AM17" s="375">
        <f>IF(ISNUMBER(Datos!R17),Datos!R17," - ")</f>
        <v>135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0.90745501285347041</v>
      </c>
      <c r="BH17" s="764">
        <f>IF(ISNUMBER(((IF(D_I="SI",Datos!L17/Datos!K17,(Datos!L17+Datos!AF17)/(Datos!K17+Datos!AE17)))*11)/factor_trimestre),((IF(D_I="SI",Datos!L17/Datos!K17,(Datos!L17+Datos!AF17)/(Datos!K17+Datos!AE17)))*11)/factor_trimestre," - ")</f>
        <v>3.1898016997167145</v>
      </c>
      <c r="BI17" s="266">
        <f>IF(ISNUMBER('Resol  Asuntos'!D17/NºAsuntos!G17),'Resol  Asuntos'!D17/NºAsuntos!G17," - ")</f>
        <v>0.12747875354107649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59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0.76388888888888884</v>
      </c>
      <c r="BH18" s="764">
        <f>IF(ISNUMBER(((IF(D_I="SI",Datos!L18/Datos!K18,(Datos!L18+Datos!AF18)/(Datos!K18+Datos!AE18)))*11)/factor_trimestre),((IF(D_I="SI",Datos!L18/Datos!K18,(Datos!L18+Datos!AF18)/(Datos!K18+Datos!AE18)))*11)/factor_trimestre," - ")</f>
        <v>2.1454545454545455</v>
      </c>
      <c r="BI18" s="763">
        <f>IF(ISNUMBER('Resol  Asuntos'!D18/NºAsuntos!G18),'Resol  Asuntos'!D18/NºAsuntos!G18," - ")</f>
        <v>5.4545454545454543E-2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527</v>
      </c>
      <c r="G23" s="1197">
        <f>SUBTOTAL(9,G16:G22)</f>
        <v>563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408</v>
      </c>
      <c r="AC23" s="1198">
        <f t="shared" si="5"/>
        <v>8</v>
      </c>
      <c r="AD23" s="1198">
        <f t="shared" si="5"/>
        <v>0</v>
      </c>
      <c r="AE23" s="1198">
        <f t="shared" si="5"/>
        <v>0</v>
      </c>
      <c r="AF23" s="1198">
        <f t="shared" si="5"/>
        <v>622</v>
      </c>
      <c r="AG23" s="1198">
        <f t="shared" si="5"/>
        <v>0</v>
      </c>
      <c r="AH23" s="1198">
        <f t="shared" si="5"/>
        <v>0</v>
      </c>
      <c r="AI23" s="1198">
        <f t="shared" si="5"/>
        <v>0</v>
      </c>
      <c r="AJ23" s="1198">
        <f t="shared" si="5"/>
        <v>0</v>
      </c>
      <c r="AK23" s="1198">
        <f t="shared" si="5"/>
        <v>0</v>
      </c>
      <c r="AL23" s="1198">
        <f t="shared" si="5"/>
        <v>0</v>
      </c>
      <c r="AM23" s="1198">
        <f t="shared" si="5"/>
        <v>137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209</v>
      </c>
      <c r="BE23" s="1198">
        <f t="shared" si="5"/>
        <v>0</v>
      </c>
      <c r="BF23" s="1198">
        <f t="shared" si="5"/>
        <v>0</v>
      </c>
      <c r="BG23" s="1198">
        <f>IF(ISNUMBER(Datos!K23/Datos!J23),Datos!K23/Datos!J23," - ")</f>
        <v>0.88503253796095449</v>
      </c>
      <c r="BH23" s="1202">
        <f>IF(ISNUMBER(((Datos!L23/Datos!K23)*11)/factor_trimestre),((Datos!L23/Datos!K23)*11)/factor_trimestre," - ")</f>
        <v>3.0490196078431371</v>
      </c>
      <c r="BI23" s="1198">
        <f>SUBTOTAL(9,BI16:BI22)</f>
        <v>0.18202420808653103</v>
      </c>
      <c r="BJ23" s="1198">
        <f>SUBTOTAL(9,BJ16:BJ22)</f>
        <v>0</v>
      </c>
      <c r="BK23" s="1198">
        <f>SUBTOTAL(9,BK16:BK22)</f>
        <v>0</v>
      </c>
      <c r="BL23" s="1198">
        <f>IF(ISNUMBER((I23-AB23+L23)/(F23)),(I23-AB23+L23)/(F23)," - ")</f>
        <v>-0.77419354838709675</v>
      </c>
      <c r="BM23" s="1205">
        <f>IF(ISNUMBER((Datos!P23-Datos!Q23)/(Datos!R23-Datos!P23+Datos!Q23)),(Datos!P23-Datos!Q23)/(Datos!R23-Datos!P23+Datos!Q23)," - ")</f>
        <v>-4.195804195804196E-2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553</v>
      </c>
      <c r="G31" s="1117">
        <f t="shared" si="18"/>
        <v>589</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414</v>
      </c>
      <c r="AC31" s="1118">
        <f t="shared" si="19"/>
        <v>86</v>
      </c>
      <c r="AD31" s="1118">
        <f t="shared" si="19"/>
        <v>0</v>
      </c>
      <c r="AE31" s="1118">
        <f t="shared" si="19"/>
        <v>0</v>
      </c>
      <c r="AF31" s="1125">
        <f t="shared" si="19"/>
        <v>649</v>
      </c>
      <c r="AG31" s="1125">
        <f t="shared" si="19"/>
        <v>0</v>
      </c>
      <c r="AH31" s="1125">
        <f t="shared" si="19"/>
        <v>38</v>
      </c>
      <c r="AI31" s="1125">
        <f t="shared" si="19"/>
        <v>0</v>
      </c>
      <c r="AJ31" s="1118">
        <f t="shared" si="19"/>
        <v>0</v>
      </c>
      <c r="AK31" s="1125">
        <f t="shared" si="19"/>
        <v>0</v>
      </c>
      <c r="AL31" s="1125">
        <f t="shared" si="19"/>
        <v>0</v>
      </c>
      <c r="AM31" s="1125">
        <f t="shared" si="19"/>
        <v>2637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v>
      </c>
      <c r="BD31" s="1117">
        <f t="shared" si="19"/>
        <v>357</v>
      </c>
      <c r="BE31" s="1117">
        <f t="shared" si="19"/>
        <v>0</v>
      </c>
      <c r="BF31" s="1127">
        <f t="shared" si="19"/>
        <v>0</v>
      </c>
      <c r="BG31" s="1223">
        <f>IF(ISNUMBER(Datos!K31/Datos!J31),Datos!K31/Datos!J31," - ")</f>
        <v>0.98163030998851897</v>
      </c>
      <c r="BH31" s="1223">
        <f>IF(ISNUMBER(((Datos!L31/Datos!K31)*11)/factor_trimestre),((Datos!L31/Datos!K31)*11)/factor_trimestre," - ")</f>
        <v>4.5309941520467838</v>
      </c>
      <c r="BI31" s="1103">
        <f>IF(ISNUMBER(Datos!J31/Datos!I31),Datos!J31/Datos!I31," - ")</f>
        <v>0.45483028720626634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-0.74864376130198917</v>
      </c>
      <c r="BM31" s="1188">
        <f>IF(ISNUMBER((Datos!P31-Datos!Q31+R31)/(Datos!R31-Datos!P31+Datos!Q31-R31)),(Datos!P31-Datos!Q31+R31)/(Datos!R31-Datos!P31+Datos!Q31-R31)," - ")</f>
        <v>1.7361111111111112E-2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265.68301915377782</v>
      </c>
      <c r="G33" s="674">
        <f>IF(ISNUMBER(STDEV(G8:G30)),STDEV(G8:G30),"-")</f>
        <v>256.64808219668834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180.84497438940559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44.107012723926012</v>
      </c>
      <c r="BD33" s="673"/>
      <c r="BE33" s="673">
        <f>IF(ISNUMBER(STDEV(BE8:BE30)),STDEV(BE8:BE30),"-")</f>
        <v>0</v>
      </c>
      <c r="BF33" s="678">
        <f>IF(ISNUMBER(STDEV(BF8:BF30)),STDEV(BF8:BF30),"-")</f>
        <v>0</v>
      </c>
      <c r="BG33" s="1052">
        <f>IF(ISNUMBER(STDEV(BG8:BG30)),STDEV(BG8:BG30),"-")</f>
        <v>0.14990438055788533</v>
      </c>
      <c r="BH33" s="1058">
        <f>IF(ISNUMBER(STDEV(BH8:BH30)),STDEV(BH8:BH30),"-")</f>
        <v>2.5224139735886228</v>
      </c>
      <c r="BI33" s="273">
        <f>IF(ISNUMBER(STDEV(BI8:BI30)),STDEV(BI8:BI30),"-")</f>
        <v>6.7591444109988907E-2</v>
      </c>
      <c r="BJ33" s="244" t="str">
        <f>IF(ISNUMBER(BL33/BM33),BL33/BM33," - ")</f>
        <v xml:space="preserve"> - </v>
      </c>
      <c r="BK33" s="709"/>
      <c r="BL33" s="681">
        <f>IF(ISNUMBER(STDEV(BL8:BL30)),STDEV(BL8:BL30),"-")</f>
        <v>0.38425902004926521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QKGuhh+OzKKPe3i+S+gNn0AJdTF3IrR5H/YrtYvdqLmJJdLYqSziVJu87SnSF/p8w0NTqXwCzL7oqTU8B+RDQ==" saltValue="pQ83k1k1xKEyemoyE+Yk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LEBRIJA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2500</v>
      </c>
      <c r="AF12" s="693" t="str">
        <f>IF(ISNUMBER(Datos!BV12),Datos!BV12," - ")</f>
        <v xml:space="preserve"> - </v>
      </c>
      <c r="AG12" s="552" t="str">
        <f>IF(ISNUMBER(Datos!DV12),Datos!DV12," - ")</f>
        <v xml:space="preserve"> - </v>
      </c>
      <c r="AH12" s="553"/>
      <c r="AI12" s="554"/>
      <c r="AJ12" s="552">
        <f>IF(ISNUMBER(Datos!M12),Datos!M12," - ")</f>
        <v>100</v>
      </c>
      <c r="AK12" s="693">
        <f>IF(ISNUMBER(Datos!N12),Datos!N12," - ")</f>
        <v>147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5.346774193548387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2.08248264597795E-2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78</v>
      </c>
      <c r="AA14" s="1199">
        <f t="shared" si="3"/>
        <v>27</v>
      </c>
      <c r="AB14" s="1199">
        <f t="shared" si="3"/>
        <v>0</v>
      </c>
      <c r="AC14" s="1199">
        <f t="shared" si="3"/>
        <v>0</v>
      </c>
      <c r="AD14" s="1199">
        <f t="shared" si="3"/>
        <v>0</v>
      </c>
      <c r="AE14" s="1199">
        <f t="shared" si="3"/>
        <v>2500</v>
      </c>
      <c r="AF14" s="1211">
        <f t="shared" si="3"/>
        <v>0</v>
      </c>
      <c r="AG14" s="1211">
        <f t="shared" si="3"/>
        <v>0</v>
      </c>
      <c r="AH14" s="1211">
        <f t="shared" si="3"/>
        <v>0</v>
      </c>
      <c r="AI14" s="1211">
        <f t="shared" si="3"/>
        <v>0</v>
      </c>
      <c r="AJ14" s="1211">
        <f t="shared" si="3"/>
        <v>104</v>
      </c>
      <c r="AK14" s="1211">
        <f t="shared" si="3"/>
        <v>148</v>
      </c>
      <c r="AL14" s="1211">
        <f t="shared" si="3"/>
        <v>0</v>
      </c>
      <c r="AM14" s="1211">
        <f t="shared" si="3"/>
        <v>0</v>
      </c>
      <c r="AN14" s="1211">
        <f t="shared" si="3"/>
        <v>0</v>
      </c>
      <c r="AO14" s="1203">
        <f>IF(ISNUMBER(((NºAsuntos!I14/NºAsuntos!G14)*11)/factor_trimestre),((NºAsuntos!I14/NºAsuntos!G14)*11)/factor_trimestre," - ")</f>
        <v>5.3904382470119518</v>
      </c>
      <c r="AP14" s="1213" t="str">
        <f>IF(ISNUMBER(Datos!CI14/Datos!CJ14),Datos!CI14/Datos!CJ14," - ")</f>
        <v xml:space="preserve"> - </v>
      </c>
      <c r="AQ14" s="1236">
        <f t="shared" ref="AQ14:AV14" si="4">SUBTOTAL(9,AQ9:AQ13)</f>
        <v>0</v>
      </c>
      <c r="AR14" s="1236">
        <f t="shared" si="4"/>
        <v>2.08248264597795E-2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527</v>
      </c>
      <c r="G17" s="552">
        <f>IF(ISNUMBER(IF(D_I="SI",Datos!I17,Datos!I17+Datos!AC17)),IF(D_I="SI",Datos!I17,Datos!I17+Datos!AC17)," - ")</f>
        <v>523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353</v>
      </c>
      <c r="Z17" s="805">
        <f>IF(ISNUMBER(Datos!Q17),Datos!Q17," - ")</f>
        <v>8</v>
      </c>
      <c r="AA17" s="551">
        <f>IF(ISNUMBER(IF(D_I="SI",Datos!L17,Datos!L17+Datos!AF17)),IF(D_I="SI",Datos!L17,Datos!L17+Datos!AF17)," - ")</f>
        <v>563</v>
      </c>
      <c r="AB17" s="549"/>
      <c r="AC17" s="549"/>
      <c r="AD17" s="563"/>
      <c r="AE17" s="563">
        <f>IF(ISNUMBER(Datos!R17),Datos!R17," - ")</f>
        <v>135</v>
      </c>
      <c r="AF17" s="693" t="str">
        <f>IF(ISNUMBER(Datos!BV17),Datos!BV17," - ")</f>
        <v xml:space="preserve"> - </v>
      </c>
      <c r="AG17" s="552"/>
      <c r="AH17" s="553"/>
      <c r="AI17" s="554"/>
      <c r="AJ17" s="552">
        <f>IF(ISNUMBER(Datos!M17),Datos!M17," - ")</f>
        <v>45</v>
      </c>
      <c r="AK17" s="693">
        <f>IF(ISNUMBER(Datos!N17),Datos!N17," - ")</f>
        <v>182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3.1898016997167145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59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2.1454545454545455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527</v>
      </c>
      <c r="G23" s="1197">
        <f>SUBTOTAL(9,G16:G22)</f>
        <v>563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408</v>
      </c>
      <c r="Z23" s="1240">
        <f t="shared" si="6"/>
        <v>8</v>
      </c>
      <c r="AA23" s="1240">
        <f t="shared" si="6"/>
        <v>622</v>
      </c>
      <c r="AB23" s="1240">
        <f t="shared" si="6"/>
        <v>0</v>
      </c>
      <c r="AC23" s="1240">
        <f t="shared" si="6"/>
        <v>0</v>
      </c>
      <c r="AD23" s="1240">
        <f t="shared" si="6"/>
        <v>0</v>
      </c>
      <c r="AE23" s="1240">
        <f t="shared" si="6"/>
        <v>137</v>
      </c>
      <c r="AF23" s="1240">
        <f t="shared" si="6"/>
        <v>0</v>
      </c>
      <c r="AG23" s="1240">
        <f t="shared" si="6"/>
        <v>0</v>
      </c>
      <c r="AH23" s="1240">
        <f t="shared" si="6"/>
        <v>0</v>
      </c>
      <c r="AI23" s="1240">
        <f t="shared" si="6"/>
        <v>0</v>
      </c>
      <c r="AJ23" s="1240">
        <f t="shared" si="6"/>
        <v>48</v>
      </c>
      <c r="AK23" s="1240">
        <f t="shared" si="6"/>
        <v>209</v>
      </c>
      <c r="AL23" s="1240">
        <f t="shared" si="6"/>
        <v>0</v>
      </c>
      <c r="AM23" s="1240">
        <f t="shared" si="6"/>
        <v>0</v>
      </c>
      <c r="AN23" s="1240">
        <f t="shared" si="6"/>
        <v>0</v>
      </c>
      <c r="AO23" s="1242">
        <f>IF(ISNUMBER(((NºAsuntos!I23/NºAsuntos!G23)*11)/factor_trimestre),((NºAsuntos!I23/NºAsuntos!G23)*11)/factor_trimestre," - ")</f>
        <v>3.0490196078431371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553</v>
      </c>
      <c r="G31" s="1117">
        <f t="shared" si="12"/>
        <v>589</v>
      </c>
      <c r="H31" s="1118">
        <f t="shared" si="12"/>
        <v>0</v>
      </c>
      <c r="I31" s="1117">
        <f t="shared" si="12"/>
        <v>0</v>
      </c>
      <c r="J31" s="1119">
        <f t="shared" si="12"/>
        <v>0</v>
      </c>
      <c r="K31" s="1117">
        <f t="shared" si="12"/>
        <v>0</v>
      </c>
      <c r="L31" s="1120">
        <f t="shared" si="12"/>
        <v>0</v>
      </c>
      <c r="M31" s="1117">
        <f t="shared" si="12"/>
        <v>0</v>
      </c>
      <c r="N31" s="1118">
        <f t="shared" si="12"/>
        <v>131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414</v>
      </c>
      <c r="Z31" s="1124">
        <f t="shared" si="13"/>
        <v>86</v>
      </c>
      <c r="AA31" s="1125">
        <f t="shared" si="13"/>
        <v>649</v>
      </c>
      <c r="AB31" s="1125">
        <f t="shared" si="13"/>
        <v>0</v>
      </c>
      <c r="AC31" s="1125">
        <f t="shared" si="13"/>
        <v>0</v>
      </c>
      <c r="AD31" s="1126">
        <f t="shared" si="13"/>
        <v>0</v>
      </c>
      <c r="AE31" s="1126">
        <f t="shared" si="13"/>
        <v>2637</v>
      </c>
      <c r="AF31" s="1127">
        <f t="shared" si="13"/>
        <v>0</v>
      </c>
      <c r="AG31" s="1128">
        <f t="shared" si="13"/>
        <v>0</v>
      </c>
      <c r="AH31" s="1129">
        <f t="shared" si="13"/>
        <v>0</v>
      </c>
      <c r="AI31" s="1127">
        <f t="shared" si="13"/>
        <v>0</v>
      </c>
      <c r="AJ31" s="1117">
        <f t="shared" si="13"/>
        <v>152</v>
      </c>
      <c r="AK31" s="1117">
        <f t="shared" si="13"/>
        <v>357</v>
      </c>
      <c r="AL31" s="1117">
        <f t="shared" si="13"/>
        <v>0</v>
      </c>
      <c r="AM31" s="1130">
        <f t="shared" si="13"/>
        <v>0</v>
      </c>
      <c r="AN31" s="1120">
        <f>IF(ISNUMBER(Datos!K31/Datos!J31),Datos!K31/Datos!J31," - ")</f>
        <v>0.98163030998851897</v>
      </c>
      <c r="AO31" s="1120">
        <f>IF(ISNUMBER(FIND("06",Criterios!A8,1)),(IF(ISNUMBER(((Datos!R31/Datos!Q31)*11)/factor_trimestre),((Datos!R31/Datos!Q31)*11)/factor_trimestre," - ")),(IF(ISNUMBER(((Datos!L31/Datos!K31)*11)/factor_trimestre),((Datos!L31/Datos!K31)*11)/factor_trimestre," - ")))</f>
        <v>4.5309941520467838</v>
      </c>
      <c r="AP31" s="1131" t="str">
        <f>IF(ISNUMBER(Datos!CI31/Datos!CJ31),Datos!CI31/Datos!CJ31," - ")</f>
        <v xml:space="preserve"> - </v>
      </c>
      <c r="AQ31" s="1131">
        <f>IF(OR(ISNUMBER(FIND("01",Criterios!A8,1)),ISNUMBER(FIND("02",Criterios!A8,1)),ISNUMBER(FIND("03",Criterios!A8,1)),ISNUMBER(FIND("04",Criterios!A8,1))),(J31-Y31+K31)/(F31-K31),(I31-Y31+K31)/(F31-K31))</f>
        <v>-0.74864376130198917</v>
      </c>
      <c r="AR31" s="1131">
        <f>IF(ISNUMBER((Datos!P31-Datos!Q31+O31)/(Datos!R31-Datos!P31+Datos!Q31-O31)),(Datos!P31-Datos!Q31+O31)/(Datos!R31-Datos!P31+Datos!Q31-O31)," - ")</f>
        <v>1.7361111111111112E-2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265.68301915377782</v>
      </c>
      <c r="G33" s="674">
        <f>IF(ISNUMBER(STDEV(G8:G30)),STDEV(G8:G30),"-")</f>
        <v>256.64808219668834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44.107012723926012</v>
      </c>
      <c r="AK33" s="276"/>
      <c r="AL33" s="276">
        <f>IF(ISNUMBER(STDEV(AL8:AL30)),STDEV(AL8:AL30),"-")</f>
        <v>0</v>
      </c>
      <c r="AM33" s="278">
        <f>IF(ISNUMBER(STDEV(AM8:AM30)),STDEV(AM8:AM30),"-")</f>
        <v>0</v>
      </c>
      <c r="AN33" s="660">
        <f>IF(ISNUMBER(STDEV(AN8:AN30)),STDEV(AN8:AN30),"-")</f>
        <v>0</v>
      </c>
      <c r="AO33" s="661">
        <f>IF(ISNUMBER(STDEV(AO8:AO30)),STDEV(AO8:AO30),"-")</f>
        <v>2.4866094234186957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ifb2+KUemfTEW0PLIouysKqxLFIi4uXXFWLaaNEpl3yaEuxjkk1YPiUt1A5dtBJR3JplqOsDwIL8RTsbBzfAQ==" saltValue="Rer5Hdc2MOsElmvR+W1F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HC7YmfQ7mxj3+u8qRrWw3wzxye+j4YwLoiFDDdMZ25newLsKRoK8TICShTrTZSQSfbLqAdIRyRHvXJZNNIh/A==" saltValue="xq7BHl8CDMUGUb+Uwk9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NUWxM1TGCrzvgz2/EB9ivNqGuJ8YS7zvKsZN3FwytCGpL85LRm5giqrNDFhUHMN+pz331A35CkK18SAlBaA==" saltValue="J0rPX8GGJYXy3sCvSxUx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LEBRIJA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0.20717131474103587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0.14649224152071902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pvWoEFgvjhZ78VFAyISqEB4+I3oUCTtHExztQDzW7A10kzsFjSKWIbZn2eu2W3pIVh9oFTOgpXrbUpaSJNspA==" saltValue="p66lrA1FOFbuyTpmpjoU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Om0j/ZzSjwPr8u/8bYLiNvXHvee5JptQRwTQrflvthHM814sgr4jx2zvn0jjynYdRMrgvc0gwogUiOQFR40OA==" saltValue="dC9E1HIOnFD1N8f/Ewu9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LEBRIJA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7</v>
      </c>
      <c r="F10" s="452">
        <f>IF(ISNUMBER(E10/B10),E10/B10," - ")</f>
        <v>7</v>
      </c>
      <c r="G10" s="451">
        <f>IF(ISNUMBER(Datos!K10),Datos!K10," - ")</f>
        <v>6</v>
      </c>
      <c r="H10" s="452">
        <f>IF(ISNUMBER(G10/B10),G10/B10," - ")</f>
        <v>6</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1394</v>
      </c>
      <c r="D12" s="452">
        <f>IF(ISNUMBER(C12/Datos!BH12),C12/Datos!BH12," - ")</f>
        <v>697</v>
      </c>
      <c r="E12" s="451">
        <f>IF(ISNUMBER(IF(J_V="SI",Datos!J12,Datos!J12+Datos!Z12)),IF(J_V="SI",Datos!J12,Datos!J12+Datos!Z12)," - ")</f>
        <v>428</v>
      </c>
      <c r="F12" s="452">
        <f>IF(ISNUMBER(E12/B12),E12/B12," - ")</f>
        <v>214</v>
      </c>
      <c r="G12" s="451">
        <f>IF(ISNUMBER(IF(J_V="SI",Datos!K12,Datos!K12+Datos!AA12)),IF(J_V="SI",Datos!K12,Datos!K12+Datos!AA12)," - ")</f>
        <v>496</v>
      </c>
      <c r="H12" s="452">
        <f>IF(ISNUMBER(G12/B12),G12/B12," - ")</f>
        <v>248</v>
      </c>
      <c r="I12" s="451">
        <f>IF(ISNUMBER(IF(J_V="SI",Datos!L12,Datos!L12+Datos!AB12)),IF(J_V="SI",Datos!L12,Datos!L12+Datos!AB12)," - ")</f>
        <v>1326</v>
      </c>
      <c r="J12" s="452">
        <f>IF(ISNUMBER(I12/B12),I12/B12," - ")</f>
        <v>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1420</v>
      </c>
      <c r="D14" s="1147" t="str">
        <f>IF(ISNUMBER(C14/Datos!BI14),C14/Datos!BI14," - ")</f>
        <v xml:space="preserve"> - </v>
      </c>
      <c r="E14" s="1146">
        <f>SUBTOTAL(9,E8:E13)</f>
        <v>435</v>
      </c>
      <c r="F14" s="1147">
        <f>IF(ISNUMBER(E14/B14),E14/B14," - ")</f>
        <v>217.5</v>
      </c>
      <c r="G14" s="1146">
        <f>SUBTOTAL(9,G8:G13)</f>
        <v>502</v>
      </c>
      <c r="H14" s="1147">
        <f>IF(ISNUMBER(G14/B14),G14/B14," - ")</f>
        <v>251</v>
      </c>
      <c r="I14" s="1146">
        <f>SUBTOTAL(9,I8:I13)</f>
        <v>1353</v>
      </c>
      <c r="J14" s="1147">
        <f>IF(ISNUMBER(I14/B14),I14/B14," - ")</f>
        <v>676.5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523</v>
      </c>
      <c r="D17" s="452">
        <f>IF(ISNUMBER(C17/Datos!BH17),C17/Datos!BH17," - ")</f>
        <v>261.5</v>
      </c>
      <c r="E17" s="451">
        <f>IF(ISNUMBER(IF(D_I="SI",Datos!J17,Datos!J17+Datos!AD17)),IF(D_I="SI",Datos!J17,Datos!J17+Datos!AD17)," - ")</f>
        <v>389</v>
      </c>
      <c r="F17" s="452">
        <f>IF(ISNUMBER(E17/B17),E17/B17," - ")</f>
        <v>194.5</v>
      </c>
      <c r="G17" s="451">
        <f>IF(ISNUMBER(IF(D_I="SI",Datos!K17,Datos!K17+Datos!AE17)),IF(D_I="SI",Datos!K17,Datos!K17+Datos!AE17)," - ")</f>
        <v>353</v>
      </c>
      <c r="H17" s="452">
        <f>IF(ISNUMBER(G17/B17),G17/B17," - ")</f>
        <v>176.5</v>
      </c>
      <c r="I17" s="451">
        <f>IF(ISNUMBER(IF(D_I="SI",Datos!L17,Datos!L17+Datos!AF17)),IF(D_I="SI",Datos!L17,Datos!L17+Datos!AF17)," - ")</f>
        <v>563</v>
      </c>
      <c r="J17" s="452">
        <f>IF(ISNUMBER(I17/B17),I17/B17," - ")</f>
        <v>281.5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72</v>
      </c>
      <c r="F18" s="452">
        <f>IF(ISNUMBER(E18/B18),E18/B18," - ")</f>
        <v>72</v>
      </c>
      <c r="G18" s="451">
        <f>IF(ISNUMBER(IF(D_I="SI",Datos!K18,Datos!K18+Datos!AE18)),IF(D_I="SI",Datos!K18,Datos!K18+Datos!AE18)," - ")</f>
        <v>55</v>
      </c>
      <c r="H18" s="452">
        <f>IF(ISNUMBER(G18/B18),G18/B18," - ")</f>
        <v>55</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563</v>
      </c>
      <c r="D23" s="1147" t="str">
        <f>IF(ISNUMBER(C23/Datos!BI23),C23/Datos!BI23," - ")</f>
        <v xml:space="preserve"> - </v>
      </c>
      <c r="E23" s="1146">
        <f>SUBTOTAL(9,E15:E22)</f>
        <v>461</v>
      </c>
      <c r="F23" s="1147">
        <f>IF(ISNUMBER(E23/B23),E23/B23," - ")</f>
        <v>230.5</v>
      </c>
      <c r="G23" s="1146">
        <f>SUBTOTAL(9,G15:G22)</f>
        <v>408</v>
      </c>
      <c r="H23" s="1147">
        <f>IF(ISNUMBER(G23/B23),G23/B23," - ")</f>
        <v>204</v>
      </c>
      <c r="I23" s="1146">
        <f>SUBTOTAL(9,I15:I22)</f>
        <v>622</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1983</v>
      </c>
      <c r="D31" s="1085" t="str">
        <f>IF(ISNUMBER(C31/Datos!BI31),C31/Datos!BI31," - ")</f>
        <v xml:space="preserve"> - </v>
      </c>
      <c r="E31" s="1084">
        <f>SUBTOTAL(9,E9:E30)</f>
        <v>896</v>
      </c>
      <c r="F31" s="1085">
        <f>IF(ISNUMBER(E31/B31),E31/B31," - ")</f>
        <v>448</v>
      </c>
      <c r="G31" s="1084">
        <f>SUBTOTAL(9,G9:G30)</f>
        <v>910</v>
      </c>
      <c r="H31" s="1085">
        <f>IF(ISNUMBER(G31/B31),G31/B31," - ")</f>
        <v>455</v>
      </c>
      <c r="I31" s="1084">
        <f>SUBTOTAL(9,I9:I30)</f>
        <v>1975</v>
      </c>
      <c r="J31" s="1085">
        <f>IF(ISNUMBER(I31/B31),I31/B31," - ")</f>
        <v>987.5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tVPufd/FNDDHve1F/sCL15y0N0eXfTl/k5MEGAuxUNaug4DFaA6SL+W8SXu54sQgjSgbWR0BlSDuimJyHAJPg==" saltValue="eWgXEltUNfFAA6j6fpvJ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LEBRIJA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5.346774193548387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2.08248264597795E-2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78</v>
      </c>
      <c r="AE14" s="1257">
        <f t="shared" si="1"/>
        <v>0</v>
      </c>
      <c r="AF14" s="1257">
        <f t="shared" si="1"/>
        <v>27</v>
      </c>
      <c r="AG14" s="1257">
        <f t="shared" si="1"/>
        <v>0</v>
      </c>
      <c r="AH14" s="1257">
        <f t="shared" si="1"/>
        <v>2500</v>
      </c>
      <c r="AI14" s="1257">
        <f t="shared" si="1"/>
        <v>0</v>
      </c>
      <c r="AJ14" s="1257">
        <f t="shared" si="1"/>
        <v>0</v>
      </c>
      <c r="AK14" s="1257">
        <f t="shared" si="1"/>
        <v>0</v>
      </c>
      <c r="AL14" s="1257">
        <f t="shared" si="1"/>
        <v>104</v>
      </c>
      <c r="AM14" s="1257">
        <f t="shared" si="1"/>
        <v>148</v>
      </c>
      <c r="AN14" s="1257">
        <f t="shared" si="1"/>
        <v>0</v>
      </c>
      <c r="AO14" s="1257">
        <f t="shared" si="1"/>
        <v>0</v>
      </c>
      <c r="AP14" s="1262">
        <f>IF(ISNUMBER(((Datos!L14/Datos!K14)*11)/factor_trimestre),((Datos!L14/Datos!K14)*11)/factor_trimestre," - ")</f>
        <v>5.883668903803132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-0.23076923076923078</v>
      </c>
      <c r="AU14" s="1257" t="str">
        <f>IF(ISNUMBER((DatosP!#REF!-DatosP!#REF!+DatosP!#REF!)/(DatosP!#REF!+DatosP!#REF!-DatosP!#REF!-DatosP!#REF!)),(DatosP!#REF!-DatosP!#REF!+DatosP!#REF!)/(DatosP!#REF!+DatosP!#REF!-DatosP!#REF!-DatosP!#REF!)," - ")</f>
        <v xml:space="preserve"> - </v>
      </c>
      <c r="AV14" s="1263">
        <f>SUBTOTAL(9,AV9:AV13)</f>
        <v>2.08248264597795E-2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3.0490196078431371</v>
      </c>
      <c r="AQ23" s="1262">
        <f>IF(ISNUMBER(((Datos!M23/Datos!L23)*11)/factor_trimestre),((Datos!M23/Datos!L23)*11)/factor_trimestre," - ")</f>
        <v>0.15434083601286175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-4.195804195804196E-2</v>
      </c>
      <c r="AW23" s="1265">
        <f>IF(ISNUMBER((Datos!Q23-Datos!R23)/(Datos!S23-Datos!Q23+Datos!R23)),(Datos!Q23-Datos!R23)/(Datos!S23-Datos!Q23+Datos!R23)," - ")</f>
        <v>-0.19253731343283581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78</v>
      </c>
      <c r="AE31" s="1284">
        <f t="shared" si="9"/>
        <v>0</v>
      </c>
      <c r="AF31" s="1285">
        <f t="shared" si="9"/>
        <v>27</v>
      </c>
      <c r="AG31" s="1285">
        <f t="shared" si="9"/>
        <v>0</v>
      </c>
      <c r="AH31" s="1285">
        <f t="shared" si="9"/>
        <v>2500</v>
      </c>
      <c r="AI31" s="1285">
        <f t="shared" si="9"/>
        <v>0</v>
      </c>
      <c r="AJ31" s="1286">
        <f t="shared" si="9"/>
        <v>0</v>
      </c>
      <c r="AK31" s="1286">
        <f t="shared" si="9"/>
        <v>0</v>
      </c>
      <c r="AL31" s="1278">
        <f t="shared" si="9"/>
        <v>104</v>
      </c>
      <c r="AM31" s="1278">
        <f t="shared" si="9"/>
        <v>148</v>
      </c>
      <c r="AN31" s="1278">
        <f t="shared" si="9"/>
        <v>0</v>
      </c>
      <c r="AO31" s="1278">
        <f t="shared" si="9"/>
        <v>0</v>
      </c>
      <c r="AP31" s="1278">
        <f>IF(ISNUMBER(((Datos!L31/Datos!K31)*11)/factor_trimestre),((Datos!L31/Datos!K31)*11)/factor_trimestre," - ")</f>
        <v>4.5309941520467838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-0.23076923076923078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1.7361111111111112E-2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52.194508012497508</v>
      </c>
      <c r="AM33" s="1006"/>
      <c r="AN33" s="1006">
        <f>IF(ISNUMBER(STDEV(AN8:AN30)),STDEV(AN8:AN30),"-")</f>
        <v>0</v>
      </c>
      <c r="AO33" s="1012">
        <f>IF(ISNUMBER(STDEV(AO8:AO30)),STDEV(AO8:AO30),"-")</f>
        <v>0</v>
      </c>
      <c r="AP33" s="1065">
        <f>IF(ISNUMBER(STDEV(AP8:AP30)),STDEV(AP8:AP30),"-")</f>
        <v>2.4507637350255838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WImy6wchUrEputkZJJyF10+zsqNPUAi2ytxYzbDj0Gsy7TTxh9JNJIL/h9rgNmFR3spqd6IdUfuJSLe9wVgaA==" saltValue="mPoYfSFabrH4gcOhoogy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LEBRIJA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ucYRMXKDcngnlQlQRiLXMlEQ1ZfM+a24eOgUhyq4AkdvDj/5xwVAFadff+SqHWqwZk/WN89XX4bj/uR9vpjQw==" saltValue="+Mbr7J7eWFegwWbpaaPB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LEBRIJA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147</v>
      </c>
      <c r="G12" s="452">
        <f t="shared" si="1"/>
        <v>73.5</v>
      </c>
      <c r="H12" s="451">
        <f>IF(ISNUMBER(Datos!O12),Datos!O12," - ")</f>
        <v>235</v>
      </c>
      <c r="I12" s="452">
        <f t="shared" si="2"/>
        <v>117.5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104</v>
      </c>
      <c r="E14" s="1147">
        <f t="shared" si="0"/>
        <v>34.666666666666664</v>
      </c>
      <c r="F14" s="1146">
        <f>SUBTOTAL(9,F9:F13)</f>
        <v>148</v>
      </c>
      <c r="G14" s="1147">
        <f t="shared" si="1"/>
        <v>49.333333333333336</v>
      </c>
      <c r="H14" s="1146">
        <f>SUBTOTAL(9,H9:H13)</f>
        <v>236</v>
      </c>
      <c r="I14" s="1147">
        <f>IF(ISNUMBER(H14/B14),H14/B14," - ")</f>
        <v>78.666666666666671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182</v>
      </c>
      <c r="G17" s="452">
        <f t="shared" si="4"/>
        <v>91</v>
      </c>
      <c r="H17" s="451">
        <f>IF(ISNUMBER(Datos!O17),Datos!O17," - ")</f>
        <v>7</v>
      </c>
      <c r="I17" s="452">
        <f t="shared" si="5"/>
        <v>3.5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209</v>
      </c>
      <c r="G23" s="1147">
        <f t="shared" si="4"/>
        <v>69.666666666666671</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152</v>
      </c>
      <c r="E31" s="1085">
        <f>IF(ISNUMBER(D31/B31),D31/B31," - ")</f>
        <v>76</v>
      </c>
      <c r="F31" s="1084">
        <f>SUBTOTAL(9,F8:F30)</f>
        <v>357</v>
      </c>
      <c r="G31" s="1085">
        <f>IF(ISNUMBER(F31/B31),F31/B31," - ")</f>
        <v>178.5</v>
      </c>
      <c r="H31" s="1084">
        <f>SUBTOTAL(9,H8:H30)</f>
        <v>243</v>
      </c>
      <c r="I31" s="1085">
        <f>IF(ISNUMBER(H31/B31),H31/B31," - ")</f>
        <v>121.5</v>
      </c>
    </row>
    <row r="34" spans="1:1">
      <c r="A34" s="439" t="str">
        <f>Criterios!A4</f>
        <v>Fecha Informe: 06 may. 2023</v>
      </c>
    </row>
    <row r="39" spans="1:1">
      <c r="A39" s="462"/>
    </row>
  </sheetData>
  <sheetProtection algorithmName="SHA-512" hashValue="TwFf5b7HmMhFDo/Nzw+IgMYoZquXukHTN8xnAL03nUsCXymR9CO97X/8pqKohpQIzjv5IlnXQUg1+iv4eM8V3w==" saltValue="9eB3kVCBfIxpDbv9NpAl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LEBRIJA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78</v>
      </c>
      <c r="D12" s="456">
        <f>IF(ISNUMBER(Datos!R12),Datos!R12," - ")</f>
        <v>2500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v>
      </c>
      <c r="C14" s="1150">
        <f>SUBTOTAL(9,C9:C13)</f>
        <v>78</v>
      </c>
      <c r="D14" s="1148">
        <f>SUBTOTAL(9,D9:D13)</f>
        <v>2500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8</v>
      </c>
      <c r="D17" s="456">
        <f>IF(ISNUMBER(Datos!R17),Datos!R17," - ")</f>
        <v>135</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8</v>
      </c>
      <c r="D23" s="1148">
        <f>SUBTOTAL(9,D16:D22)</f>
        <v>137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131</v>
      </c>
      <c r="C31" s="1089">
        <f>SUBTOTAL(9,C8:C30)</f>
        <v>86</v>
      </c>
      <c r="D31" s="1090">
        <f>SUBTOTAL(9,D8:D30)</f>
        <v>2637</v>
      </c>
    </row>
    <row r="32" spans="1:4" ht="7.5" customHeight="1"/>
    <row r="33" spans="1:1" ht="6" customHeight="1"/>
    <row r="34" spans="1:1">
      <c r="A34" s="439" t="str">
        <f>Criterios!A4</f>
        <v>Fecha Informe: 06 may. 2023</v>
      </c>
    </row>
    <row r="39" spans="1:1">
      <c r="A39" s="462"/>
    </row>
  </sheetData>
  <sheetProtection algorithmName="SHA-512" hashValue="Fn859c1THmhfqQb6kVmFRWde5rnwKfsU+pgjSbyGMbehk2p/R8QZ/uOJHCB41bw4DndNW8NzZx6CA4+0Nlqwew==" saltValue="dzOmk36RarUCQVSR2Wzh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LEBRIJA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0.73333333333333328</v>
      </c>
      <c r="C10" s="515">
        <f>IF(ISNUMBER((Datos!J10-Datos!T10)/Datos!T10),(Datos!J10-Datos!T10)/Datos!T10," - ")</f>
        <v>6</v>
      </c>
      <c r="D10" s="515">
        <f>IF(ISNUMBER((Datos!K10-Datos!U10)/Datos!U10),(Datos!K10-Datos!U10)/Datos!U10," - ")</f>
        <v>0.2</v>
      </c>
      <c r="E10" s="515">
        <f>IF(ISNUMBER((Datos!L10-Datos!V10)/Datos!V10),(Datos!L10-Datos!V10)/Datos!V10," - ")</f>
        <v>1.4545454545454546</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-0.82857142857142863</v>
      </c>
      <c r="I10" s="515">
        <f>IF(ISNUMBER(((NºAsuntos!I10/NºAsuntos!G10)-Datos!BE10)/Datos!BE10),((NºAsuntos!I10/NºAsuntos!G10)-Datos!BE10)/Datos!BE10," - ")</f>
        <v>1.0454545454545452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0.71874999999999989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5.5261165783497351E-2</v>
      </c>
      <c r="C12" s="515">
        <f>IF(ISNUMBER(
   IF(J_V="SI",(Datos!J12-Datos!T12)/Datos!T12,(Datos!J12+Datos!Z12-(Datos!T12+Datos!AH12))/(Datos!T12+Datos!AH12))
     ),IF(J_V="SI",(Datos!J12-Datos!T12)/Datos!T12,(Datos!J12+Datos!Z12-(Datos!T12+Datos!AH12))/(Datos!T12+Datos!AH12))," - ")</f>
        <v>0.34591194968553457</v>
      </c>
      <c r="D12" s="515">
        <f>IF(ISNUMBER(
   IF(J_V="SI",(Datos!K12-Datos!U12)/Datos!U12,(Datos!K12+Datos!AA12-(Datos!U12+Datos!AI12))/(Datos!U12+Datos!AI12))
     ),IF(J_V="SI",(Datos!K12-Datos!U12)/Datos!U12,(Datos!K12+Datos!AA12-(Datos!U12+Datos!AI12))/(Datos!U12+Datos!AI12))," - ")</f>
        <v>0.7162629757785467</v>
      </c>
      <c r="E12" s="515">
        <f>IF(ISNUMBER(
   IF(J_V="SI",(Datos!L12-Datos!V12)/Datos!V12,(Datos!L12+Datos!AB12-(Datos!V12+Datos!AJ12))/(Datos!V12+Datos!AJ12))
     ),IF(J_V="SI",(Datos!L12-Datos!V12)/Datos!V12,(Datos!L12+Datos!AB12-(Datos!V12+Datos!AJ12))/(Datos!V12+Datos!AJ12))," - ")</f>
        <v>-1.7777777777777778E-2</v>
      </c>
      <c r="F12" s="515">
        <f>IF(ISNUMBER((Datos!M12-Datos!W12)/Datos!W12),(Datos!M12-Datos!W12)/Datos!W12," - ")</f>
        <v>0.47058823529411764</v>
      </c>
      <c r="G12" s="516">
        <f>IF(ISNUMBER((Datos!N12-Datos!X12)/Datos!X12),(Datos!N12-Datos!X12)/Datos!X12," - ")</f>
        <v>0.79268292682926833</v>
      </c>
      <c r="H12" s="514">
        <f>IF(ISNUMBER(((NºAsuntos!G12/NºAsuntos!E12)-Datos!BD12)/Datos!BD12),((NºAsuntos!G12/NºAsuntos!E12)-Datos!BD12)/Datos!BD12," - ")</f>
        <v>0.27516735116256497</v>
      </c>
      <c r="I12" s="515">
        <f>IF(ISNUMBER(((NºAsuntos!I12/NºAsuntos!G12)-Datos!BE12)/Datos!BE12),((NºAsuntos!I12/NºAsuntos!G12)-Datos!BE12)/Datos!BE12," - ")</f>
        <v>-0.42769713261648745</v>
      </c>
      <c r="J12" s="521">
        <f>IF(ISNUMBER((('Resol  Asuntos'!D12/NºAsuntos!G12)-Datos!BF12)/Datos!BF12),(('Resol  Asuntos'!D12/NºAsuntos!G12)-Datos!BF12)/Datos!BF12," - ")</f>
        <v>-0.28943745082612127</v>
      </c>
      <c r="K12" s="522">
        <f>IF(ISNUMBER((((NºAsuntos!C12+NºAsuntos!E12)/NºAsuntos!G12)-Datos!BG12)/Datos!BG12),(((NºAsuntos!C12+NºAsuntos!E12)/NºAsuntos!G12)-Datos!BG12)/Datos!BG12," - ")</f>
        <v>-0.35228256804896774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6.2874251497005984E-2</v>
      </c>
      <c r="C14" s="1152">
        <f>IF(ISNUMBER(
   IF(J_V="SI",(Datos!J14-Datos!T14)/Datos!T14,(Datos!J14+Datos!Z14-(Datos!T14+Datos!AH14))/(Datos!T14+Datos!AH14))
     ),IF(J_V="SI",(Datos!J14-Datos!T14)/Datos!T14,(Datos!J14+Datos!Z14-(Datos!T14+Datos!AH14))/(Datos!T14+Datos!AH14))," - ")</f>
        <v>0.36363636363636365</v>
      </c>
      <c r="D14" s="1152">
        <f>IF(ISNUMBER(
   IF(J_V="SI",(Datos!K14-Datos!U14)/Datos!U14,(Datos!K14+Datos!AA14-(Datos!U14+Datos!AI14))/(Datos!U14+Datos!AI14))
     ),IF(J_V="SI",(Datos!K14-Datos!U14)/Datos!U14,(Datos!K14+Datos!AA14-(Datos!U14+Datos!AI14))/(Datos!U14+Datos!AI14))," - ")</f>
        <v>0.70748299319727892</v>
      </c>
      <c r="E14" s="1152">
        <f>IF(ISNUMBER(
   IF(J_V="SI",(Datos!L14-Datos!V14)/Datos!V14,(Datos!L14+Datos!AB14-(Datos!V14+Datos!AJ14))/(Datos!V14+Datos!AJ14))
     ),IF(J_V="SI",(Datos!L14-Datos!V14)/Datos!V14,(Datos!L14+Datos!AB14-(Datos!V14+Datos!AJ14))/(Datos!V14+Datos!AJ14))," - ")</f>
        <v>-5.8780308596620128E-3</v>
      </c>
      <c r="F14" s="1153">
        <f>IF(ISNUMBER((Datos!M14-Datos!W14)/Datos!W14),(Datos!M14-Datos!W14)/Datos!W14," - ")</f>
        <v>0.52941176470588236</v>
      </c>
      <c r="G14" s="1154">
        <f>IF(ISNUMBER((Datos!N14-Datos!X14)/Datos!X14),(Datos!N14-Datos!X14)/Datos!X14," - ")</f>
        <v>0.7831325301204819</v>
      </c>
      <c r="H14" s="1154">
        <f>IF(ISNUMBER(((NºAsuntos!G14/NºAsuntos!E14)-Datos!BD14)/Datos!BD14),((NºAsuntos!G14/NºAsuntos!E14)-Datos!BD14)/Datos!BD14," - ")</f>
        <v>0.25215419501133784</v>
      </c>
      <c r="I14" s="1154">
        <f>IF(ISNUMBER(((NºAsuntos!I14/NºAsuntos!G14)-Datos!BE14)/Datos!BE14),((NºAsuntos!I14/NºAsuntos!G14)-Datos!BE14)/Datos!BE14," - ")</f>
        <v>-0.41778514157916463</v>
      </c>
      <c r="J14" s="1154">
        <f>IF(ISNUMBER((('Resol  Asuntos'!D14/NºAsuntos!G14)-Datos!BF14)/Datos!BF14),(('Resol  Asuntos'!D14/NºAsuntos!G14)-Datos!BF14)/Datos!BF14," - ")</f>
        <v>-0.25721504226994452</v>
      </c>
      <c r="K14" s="1154">
        <f>IF(ISNUMBER((((NºAsuntos!C14+NºAsuntos!E14)/NºAsuntos!G14)-Datos!BG14)/Datos!BG14),(((NºAsuntos!C14+NºAsuntos!E14)/NºAsuntos!G14)-Datos!BG14)/Datos!BG14," - ")</f>
        <v>-0.34356832488776018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4.5999999999999999E-2</v>
      </c>
      <c r="C17" s="515">
        <f>IF(ISNUMBER(
   IF(D_I="SI",(Datos!J17-Datos!T17)/Datos!T17,(Datos!J17+Datos!AD17-(Datos!T17+Datos!AL17))/(Datos!T17+Datos!AL17))
     ),IF(D_I="SI",(Datos!J17-Datos!T17)/Datos!T17,(Datos!J17+Datos!AD17-(Datos!T17+Datos!AL17))/(Datos!T17+Datos!AL17))," - ")</f>
        <v>-9.5348837209302331E-2</v>
      </c>
      <c r="D17" s="515">
        <f>IF(ISNUMBER(
   IF(D_I="SI",(Datos!K17-Datos!U17)/Datos!U17,(Datos!K17+Datos!AE17-(Datos!U17+Datos!AM17))/(Datos!U17+Datos!AM17))
     ),IF(D_I="SI",(Datos!K17-Datos!U17)/Datos!U17,(Datos!K17+Datos!AE17-(Datos!U17+Datos!AM17))/(Datos!U17+Datos!AM17))," - ")</f>
        <v>-0.10406091370558376</v>
      </c>
      <c r="E17" s="515">
        <f>IF(ISNUMBER(
   IF(D_I="SI",(Datos!L17-Datos!V17)/Datos!V17,(Datos!L17+Datos!AF17-(Datos!V17+Datos!AN17))/(Datos!V17+Datos!AN17))
     ),IF(D_I="SI",(Datos!L17-Datos!V17)/Datos!V17,(Datos!L17+Datos!AF17-(Datos!V17+Datos!AN17))/(Datos!V17+Datos!AN17))," - ")</f>
        <v>4.8417132216014895E-2</v>
      </c>
      <c r="F17" s="515">
        <f>IF(ISNUMBER((Datos!M17-Datos!W17)/Datos!W17),(Datos!M17-Datos!W17)/Datos!W17," - ")</f>
        <v>0.21621621621621623</v>
      </c>
      <c r="G17" s="516">
        <f>IF(ISNUMBER((Datos!N17-Datos!X17)/Datos!X17),(Datos!N17-Datos!X17)/Datos!X17," - ")</f>
        <v>-0.40909090909090912</v>
      </c>
      <c r="H17" s="514">
        <f>IF(ISNUMBER(((NºAsuntos!G17/NºAsuntos!E17)-Datos!BD17)/Datos!BD17),((NºAsuntos!G17/NºAsuntos!E17)-Datos!BD17)/Datos!BD17," - ")</f>
        <v>-9.6303159213394305E-3</v>
      </c>
      <c r="I17" s="515">
        <f>IF(ISNUMBER(((NºAsuntos!I17/NºAsuntos!G17)-Datos!BE17)/Datos!BE17),((NºAsuntos!I17/NºAsuntos!G17)-Datos!BE17)/Datos!BE17," - ")</f>
        <v>0.1701879606037108</v>
      </c>
      <c r="J17" s="521">
        <f>IF(ISNUMBER((('Resol  Asuntos'!D17/NºAsuntos!G17)-Datos!BF17)/Datos!BF17),(('Resol  Asuntos'!D17/NºAsuntos!G17)-Datos!BF17)/Datos!BF17," - ")</f>
        <v>0.35747645662659822</v>
      </c>
      <c r="K17" s="522">
        <f>IF(ISNUMBER((((NºAsuntos!C17+NºAsuntos!E17)/NºAsuntos!G17)-Datos!BG17)/Datos!BG17),(((NºAsuntos!C17+NºAsuntos!E17)/NºAsuntos!G17)-Datos!BG17)/Datos!BG17," - ")</f>
        <v>9.4544457644155991E-2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-2.4390243902439025E-2</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5.7692307692307696E-2</v>
      </c>
      <c r="E18" s="515">
        <f>IF(ISNUMBER(
   IF(D_I="SI",(Datos!L18-Datos!V18)/Datos!V18,(Datos!L18+Datos!AF18-(Datos!V18+Datos!AN18))/(Datos!V18+Datos!AN18))
     ),IF(D_I="SI",(Datos!L18-Datos!V18)/Datos!V18,(Datos!L18+Datos!AF18-(Datos!V18+Datos!AN18))/(Datos!V18+Datos!AN18))," - ")</f>
        <v>0.31111111111111112</v>
      </c>
      <c r="F18" s="515">
        <f>IF(ISNUMBER((Datos!M18-Datos!W18)/Datos!W18),(Datos!M18-Datos!W18)/Datos!W18," - ")</f>
        <v>2</v>
      </c>
      <c r="G18" s="516">
        <f>IF(ISNUMBER((Datos!N18-Datos!X18)/Datos!X18),(Datos!N18-Datos!X18)/Datos!X18," - ")</f>
        <v>-0.25</v>
      </c>
      <c r="H18" s="514">
        <f>IF(ISNUMBER(((NºAsuntos!G18/NºAsuntos!E18)-Datos!BD18)/Datos!BD18),((NºAsuntos!G18/NºAsuntos!E18)-Datos!BD18)/Datos!BD18," - ")</f>
        <v>-0.17735042735042744</v>
      </c>
      <c r="I18" s="515">
        <f>IF(ISNUMBER(((NºAsuntos!I18/NºAsuntos!G18)-Datos!BE18)/Datos!BE18),((NºAsuntos!I18/NºAsuntos!G18)-Datos!BE18)/Datos!BE18," - ")</f>
        <v>0.23959595959595958</v>
      </c>
      <c r="J18" s="521">
        <f>IF(ISNUMBER((('Resol  Asuntos'!D18/NºAsuntos!G18)-Datos!BF18)/Datos!BF18),(('Resol  Asuntos'!D18/NºAsuntos!G18)-Datos!BF18)/Datos!BF18," - ")</f>
        <v>1.836363636363636</v>
      </c>
      <c r="K18" s="522">
        <f>IF(ISNUMBER((((NºAsuntos!C18+NºAsuntos!E18)/NºAsuntos!G18)-Datos!BG18)/Datos!BG18),(((NºAsuntos!C18+NºAsuntos!E18)/NºAsuntos!G18)-Datos!BG18)/Datos!BG18," - ")</f>
        <v>9.1658856607310088E-2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4.0665434380776341E-2</v>
      </c>
      <c r="C23" s="1152">
        <f>IF(ISNUMBER(
   IF(Criterios!B14="SI",(Datos!J23-Datos!T23)/Datos!T23,(Datos!J23+Datos!AD23-(Datos!T23+Datos!AL23))/(Datos!T23+Datos!AL23))
     ),IF(Criterios!B14="SI",(Datos!J23-Datos!T23)/Datos!T23,(Datos!J23+Datos!AD23-(Datos!T23+Datos!AL23))/(Datos!T23+Datos!AL23))," - ")</f>
        <v>-5.1440329218106998E-2</v>
      </c>
      <c r="D23" s="1152">
        <f>IF(ISNUMBER(
   IF(Criterios!B14="SI",(Datos!K23-Datos!U23)/Datos!U23,(Datos!K23+Datos!AE23-(Datos!U23+Datos!AM23))/(Datos!U23+Datos!AM23))
     ),IF(Criterios!B14="SI",(Datos!K23-Datos!U23)/Datos!U23,(Datos!K23+Datos!AE23-(Datos!U23+Datos!AM23))/(Datos!U23+Datos!AM23))," - ")</f>
        <v>-8.520179372197309E-2</v>
      </c>
      <c r="E23" s="1152">
        <f>IF(ISNUMBER(
   IF(Criterios!B14="SI",(Datos!L23-Datos!V23)/Datos!V23,(Datos!L23+Datos!AF23-(Datos!V23+Datos!AN23))/(Datos!V23+Datos!AN23))
     ),IF(Criterios!B14="SI",(Datos!L23-Datos!V23)/Datos!V23,(Datos!L23+Datos!AF23-(Datos!V23+Datos!AN23))/(Datos!V23+Datos!AN23))," - ")</f>
        <v>6.8728522336769765E-2</v>
      </c>
      <c r="F23" s="1153">
        <f>IF(ISNUMBER((Datos!M23-Datos!W23)/Datos!W23),(Datos!M23-Datos!W23)/Datos!W23," - ")</f>
        <v>0.26315789473684209</v>
      </c>
      <c r="G23" s="1154">
        <f>IF(ISNUMBER((Datos!N23-Datos!X23)/Datos!X23),(Datos!N23-Datos!X23)/Datos!X23," - ")</f>
        <v>-0.39244186046511625</v>
      </c>
      <c r="H23" s="1154">
        <f>IF(ISNUMBER(((NºAsuntos!G23/NºAsuntos!E23)-Datos!BD23)/Datos!BD23),((NºAsuntos!G23/NºAsuntos!E23)-Datos!BD23)/Datos!BD23," - ")</f>
        <v>-3.5592346526852323E-2</v>
      </c>
      <c r="I23" s="1154">
        <f>IF(ISNUMBER(((NºAsuntos!I23/NºAsuntos!G23)-Datos!BE23)/Datos!BE23),((NºAsuntos!I23/NºAsuntos!G23)-Datos!BE23)/Datos!BE23," - ")</f>
        <v>0.1682669631426453</v>
      </c>
      <c r="J23" s="1154">
        <f>IF(ISNUMBER((('Resol  Asuntos'!D23/NºAsuntos!G23)-Datos!BF23)/Datos!BF23),(('Resol  Asuntos'!D23/NºAsuntos!G23)-Datos!BF23)/Datos!BF23," - ")</f>
        <v>0.38080495356037158</v>
      </c>
      <c r="K23" s="1154">
        <f>IF(ISNUMBER((((NºAsuntos!C23+NºAsuntos!E23)/NºAsuntos!G23)-Datos!BG23)/Datos!BG23),(((NºAsuntos!C23+NºAsuntos!E23)/NºAsuntos!G23)-Datos!BG23)/Datos!BG23," - ")</f>
        <v>8.9944059415392297E-2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5.6473095364944062E-2</v>
      </c>
      <c r="C31" s="1092">
        <f>IF(ISNUMBER(
   IF(J_V="SI",(Datos!J31-Datos!T31)/Datos!T31,(Datos!J31+Datos!Z31-(Datos!T31+Datos!AH31))/(Datos!T31+Datos!AH31))
     ),IF(J_V="SI",(Datos!J31-Datos!T31)/Datos!T31,(Datos!J31+Datos!Z31-(Datos!T31+Datos!AH31))/(Datos!T31+Datos!AH31))," - ")</f>
        <v>0.11304347826086956</v>
      </c>
      <c r="D31" s="1092">
        <f>IF(ISNUMBER(
   IF(J_V="SI",(Datos!K31-Datos!U31)/Datos!U31,(Datos!K31+Datos!AA31-(Datos!U31+Datos!AI31))/(Datos!U31+Datos!AI31))
     ),IF(J_V="SI",(Datos!K31-Datos!U31)/Datos!U31,(Datos!K31+Datos!AA31-(Datos!U31+Datos!AI31))/(Datos!U31+Datos!AI31))," - ")</f>
        <v>0.22972972972972974</v>
      </c>
      <c r="E31" s="1092">
        <f>IF(ISNUMBER(
   IF(J_V="SI",(Datos!L31-Datos!V31)/Datos!V31,(Datos!L31+Datos!AB31-(Datos!V31+Datos!AJ31))/(Datos!V31+Datos!AJ31))
     ),IF(J_V="SI",(Datos!L31-Datos!V31)/Datos!V31,(Datos!L31+Datos!AB31-(Datos!V31+Datos!AJ31))/(Datos!V31+Datos!AJ31))," - ")</f>
        <v>1.6469377251672673E-2</v>
      </c>
      <c r="F31" s="1093">
        <f>IF(ISNUMBER((Datos!M31-Datos!W31)/Datos!W31),(Datos!M31-Datos!W31)/Datos!W31," - ")</f>
        <v>0.43396226415094341</v>
      </c>
      <c r="G31" s="1094">
        <f>IF(ISNUMBER((Datos!N31-Datos!X31)/Datos!X31),(Datos!N31-Datos!X31)/Datos!X31," - ")</f>
        <v>-0.16393442622950818</v>
      </c>
      <c r="H31" s="1095">
        <f>IF(ISNUMBER((Tasas!B31-Datos!BD31)/Datos!BD31),(Tasas!B31-Datos!BD31)/Datos!BD31," - ")</f>
        <v>0.1048353040540541</v>
      </c>
      <c r="I31" s="1096">
        <f>IF(ISNUMBER((Tasas!C31-Datos!BE31)/Datos!BE31),(Tasas!C31-Datos!BE31)/Datos!BE31," - ")</f>
        <v>-0.17342050641072776</v>
      </c>
      <c r="J31" s="1097">
        <f>IF(ISNUMBER((Tasas!D31-Datos!BF31)/Datos!BF31),(Tasas!D31-Datos!BF31)/Datos!BF31," - ")</f>
        <v>3.0036630036629916E-2</v>
      </c>
      <c r="K31" s="1097">
        <f>IF(ISNUMBER((Tasas!E31-Datos!BG31)/Datos!BG31),(Tasas!E31-Datos!BG31)/Datos!BG31," - ")</f>
        <v>-0.12708246265293249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rowtyaOR4CNdxS1Sotds6i0s7e7+cRIsweRorofLGJpksB6wNsu5aMAHcAg77lzHmsyy+bJhh/PsSCgqnoO+g==" saltValue="/En1dJcngpJrAOfcBarR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LEBRIJA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4.5</v>
      </c>
      <c r="D10" s="499">
        <f>IF(ISNUMBER('Resol  Asuntos'!D10/NºAsuntos!G10),'Resol  Asuntos'!D10/NºAsuntos!G10," - ")</f>
        <v>0.66666666666666663</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1.1588785046728971</v>
      </c>
      <c r="C12" s="498">
        <f>IF(ISNUMBER(NºAsuntos!I12/NºAsuntos!G12),NºAsuntos!I12/NºAsuntos!G12," - ")</f>
        <v>2.6733870967741935</v>
      </c>
      <c r="D12" s="499">
        <f>IF(ISNUMBER('Resol  Asuntos'!D12/NºAsuntos!G12),'Resol  Asuntos'!D12/NºAsuntos!G12," - ")</f>
        <v>0.20161290322580644</v>
      </c>
      <c r="E12" s="500">
        <f>IF(ISNUMBER((NºAsuntos!C12+NºAsuntos!E12)/NºAsuntos!G12),(NºAsuntos!C12+NºAsuntos!E12)/NºAsuntos!G12," - ")</f>
        <v>3.6733870967741935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1.1540229885057471</v>
      </c>
      <c r="C14" s="1156">
        <f>IF(ISNUMBER(NºAsuntos!I14/NºAsuntos!G14),NºAsuntos!I14/NºAsuntos!G14," - ")</f>
        <v>2.6952191235059759</v>
      </c>
      <c r="D14" s="1157">
        <f>IF(ISNUMBER('Resol  Asuntos'!D14/NºAsuntos!G14),'Resol  Asuntos'!D14/NºAsuntos!G14," - ")</f>
        <v>0.20717131474103587</v>
      </c>
      <c r="E14" s="1158">
        <f>IF(ISNUMBER((NºAsuntos!C14+NºAsuntos!E14)/NºAsuntos!G14),(NºAsuntos!C14+NºAsuntos!E14)/NºAsuntos!G14," - ")</f>
        <v>3.6952191235059759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0.90745501285347041</v>
      </c>
      <c r="C17" s="498">
        <f>IF(ISNUMBER(NºAsuntos!I17/NºAsuntos!G17),NºAsuntos!I17/NºAsuntos!G17," - ")</f>
        <v>1.594900849858357</v>
      </c>
      <c r="D17" s="499">
        <f>IF(ISNUMBER('Resol  Asuntos'!D17/NºAsuntos!G17),'Resol  Asuntos'!D17/NºAsuntos!G17," - ")</f>
        <v>0.12747875354107649</v>
      </c>
      <c r="E17" s="500">
        <f>IF(ISNUMBER((NºAsuntos!C17+NºAsuntos!E17)/NºAsuntos!G17),(NºAsuntos!C17+NºAsuntos!E17)/NºAsuntos!G17," - ")</f>
        <v>2.58356940509915</v>
      </c>
      <c r="G17" s="523"/>
    </row>
    <row r="18" spans="1:7">
      <c r="A18" s="450" t="str">
        <f>Datos!A18</f>
        <v>Jdos. Violencia contra la mujer</v>
      </c>
      <c r="B18" s="497">
        <f>IF(ISNUMBER(NºAsuntos!G18/NºAsuntos!E18),NºAsuntos!G18/NºAsuntos!E18," - ")</f>
        <v>0.76388888888888884</v>
      </c>
      <c r="C18" s="498">
        <f>IF(ISNUMBER(NºAsuntos!I18/NºAsuntos!G18),NºAsuntos!I18/NºAsuntos!G18," - ")</f>
        <v>1.0727272727272728</v>
      </c>
      <c r="D18" s="499">
        <f>IF(ISNUMBER('Resol  Asuntos'!D18/NºAsuntos!G18),'Resol  Asuntos'!D18/NºAsuntos!G18," - ")</f>
        <v>5.4545454545454543E-2</v>
      </c>
      <c r="E18" s="500">
        <f>IF(ISNUMBER((NºAsuntos!C18+NºAsuntos!E18)/NºAsuntos!G18),(NºAsuntos!C18+NºAsuntos!E18)/NºAsuntos!G18," - ")</f>
        <v>2.0363636363636362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0.88503253796095449</v>
      </c>
      <c r="C23" s="1156">
        <f>IF(ISNUMBER(NºAsuntos!I23/NºAsuntos!G23),NºAsuntos!I23/NºAsuntos!G23," - ")</f>
        <v>1.5245098039215685</v>
      </c>
      <c r="D23" s="1159">
        <f>IF(ISNUMBER('Resol  Asuntos'!D23/NºAsuntos!G23),'Resol  Asuntos'!D23/NºAsuntos!G23," - ")</f>
        <v>0.11764705882352941</v>
      </c>
      <c r="E23" s="1158">
        <f>IF(ISNUMBER((NºAsuntos!C23+NºAsuntos!E23)/NºAsuntos!G23),(NºAsuntos!C23+NºAsuntos!E23)/NºAsuntos!G23," - ")</f>
        <v>2.5098039215686274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1.015625</v>
      </c>
      <c r="C31" s="1099">
        <f>IF(ISNUMBER(NºAsuntos!I31/NºAsuntos!G31),NºAsuntos!I31/NºAsuntos!G31," - ")</f>
        <v>2.1703296703296702</v>
      </c>
      <c r="D31" s="1100">
        <f>IF(ISNUMBER('Resol  Asuntos'!D31/NºAsuntos!G31),'Resol  Asuntos'!D31/NºAsuntos!G31," - ")</f>
        <v>0.16703296703296702</v>
      </c>
      <c r="E31" s="1101">
        <f>IF(ISNUMBER((NºAsuntos!C31+NºAsuntos!E31)/NºAsuntos!G31),(NºAsuntos!C31+NºAsuntos!E31)/NºAsuntos!G31," - ")</f>
        <v>3.1637362637362636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Eo39TI+Yr20lcD9qpAmM53Vkb9vCynMq3a/tsZg4Ocm2lQsVKyyh9aZbRXfOUHsW5SNn5Mx/MulHRSEfiWMpg==" saltValue="NdX64Bpb9oAjFPVnzUw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LEBRIJA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27</v>
      </c>
      <c r="AB10" s="374">
        <f>IF(ISNUMBER(Datos!R10),Datos!R10," - ")</f>
        <v>0</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9</v>
      </c>
      <c r="AN10" s="267">
        <f>IF(ISNUMBER('Resol  Asuntos'!D10/NºAsuntos!G10),'Resol  Asuntos'!D10/NºAsuntos!G10," - ")</f>
        <v>0.66666666666666663</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1.1588785046728971</v>
      </c>
      <c r="AM12" s="284">
        <f>IF(ISNUMBER(((NºAsuntos!I12/NºAsuntos!G12)*11)/factor_trimestre),((NºAsuntos!I12/NºAsuntos!G12)*11)/factor_trimestre," - ")</f>
        <v>5.346774193548387</v>
      </c>
      <c r="AN12" s="267">
        <f>IF(ISNUMBER('Resol  Asuntos'!D12/NºAsuntos!G12),'Resol  Asuntos'!D12/NºAsuntos!G12," - ")</f>
        <v>0.20161290322580644</v>
      </c>
      <c r="AO12" s="268">
        <f>IF(ISNUMBER((NºAsuntos!C12+NºAsuntos!E12)/NºAsuntos!G12),(NºAsuntos!C12+NºAsuntos!E12)/NºAsuntos!G12," - ")</f>
        <v>3.6733870967741935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26</v>
      </c>
      <c r="G14" s="1163">
        <f t="shared" si="5"/>
        <v>26</v>
      </c>
      <c r="H14" s="1162">
        <f t="shared" si="5"/>
        <v>0</v>
      </c>
      <c r="I14" s="1164">
        <f t="shared" si="5"/>
        <v>0</v>
      </c>
      <c r="J14" s="1164">
        <f t="shared" si="5"/>
        <v>0</v>
      </c>
      <c r="K14" s="1164">
        <f t="shared" si="5"/>
        <v>0</v>
      </c>
      <c r="L14" s="1164">
        <f t="shared" si="5"/>
        <v>129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78</v>
      </c>
      <c r="Y14" s="1165">
        <f t="shared" si="6"/>
        <v>84</v>
      </c>
      <c r="Z14" s="1165">
        <f t="shared" si="6"/>
        <v>0</v>
      </c>
      <c r="AA14" s="1165">
        <f t="shared" si="6"/>
        <v>27</v>
      </c>
      <c r="AB14" s="1165">
        <f t="shared" si="6"/>
        <v>2500</v>
      </c>
      <c r="AC14" s="1165">
        <f t="shared" si="6"/>
        <v>27</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1.1540229885057471</v>
      </c>
      <c r="AM14" s="1171">
        <f>IF(ISNUMBER(((NºAsuntos!I14/NºAsuntos!G14)*11)/factor_trimestre),((NºAsuntos!I14/NºAsuntos!G14)*11)/factor_trimestre," - ")</f>
        <v>5.3904382470119518</v>
      </c>
      <c r="AN14" s="1172">
        <f>IF(ISNUMBER('Resol  Asuntos'!D14/NºAsuntos!G14),'Resol  Asuntos'!D14/NºAsuntos!G14," - ")</f>
        <v>0.20717131474103587</v>
      </c>
      <c r="AO14" s="1173">
        <f>IF(ISNUMBER((NºAsuntos!C14+NºAsuntos!E14)/NºAsuntos!G14),(NºAsuntos!C14+NºAsuntos!E14)/NºAsuntos!G14," - ")</f>
        <v>3.6952191235059759</v>
      </c>
      <c r="AP14" s="1174" t="str">
        <f t="shared" si="2"/>
        <v xml:space="preserve"> - </v>
      </c>
      <c r="AQ14" s="1174">
        <f>IF(ISNUMBER((H14-W14+K14)/(F14)),(H14-W14+K14)/(F14)," - ")</f>
        <v>-0.23076923076923078</v>
      </c>
      <c r="AR14" s="1175">
        <f>IF(ISNUMBER((Datos!P14-Datos!Q14)/(Datos!R14-Datos!P14+Datos!Q14)),(Datos!P14-Datos!Q14)/(Datos!R14-Datos!P14+Datos!Q14)," - ")</f>
        <v>2.08248264597795E-2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527</v>
      </c>
      <c r="G17" s="373">
        <f>IF(ISNUMBER(IF(D_I="SI",Datos!I17,Datos!I17+Datos!AC17)),IF(D_I="SI",Datos!I17,Datos!I17+Datos!AC17)," - ")</f>
        <v>523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353</v>
      </c>
      <c r="X17" s="240">
        <f>IF(ISNUMBER(Datos!Q17),Datos!Q17," - ")</f>
        <v>8</v>
      </c>
      <c r="Y17" s="374">
        <f t="shared" ref="Y17:Y22" si="9">SUM(W17:X17)</f>
        <v>361</v>
      </c>
      <c r="Z17" s="375" t="str">
        <f>IF(ISNUMBER(Datos!CC17),Datos!CC17," - ")</f>
        <v xml:space="preserve"> - </v>
      </c>
      <c r="AA17" s="372">
        <f>IF(ISNUMBER(IF(D_I="SI",Datos!L17,Datos!L17+Datos!AF17)),IF(D_I="SI",Datos!L17,Datos!L17+Datos!AF17)," - ")</f>
        <v>563</v>
      </c>
      <c r="AB17" s="374">
        <f>IF(ISNUMBER(Datos!R17),Datos!R17," - ")</f>
        <v>135</v>
      </c>
      <c r="AC17" s="374">
        <f t="shared" si="8"/>
        <v>698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0.90745501285347041</v>
      </c>
      <c r="AM17" s="284">
        <f>IF(ISNUMBER(((NºAsuntos!I17/NºAsuntos!G17)*11)/factor_trimestre),((NºAsuntos!I17/NºAsuntos!G17)*11)/factor_trimestre," - ")</f>
        <v>3.1898016997167145</v>
      </c>
      <c r="AN17" s="267">
        <f>IF(ISNUMBER('Resol  Asuntos'!D17/NºAsuntos!G17),'Resol  Asuntos'!D17/NºAsuntos!G17," - ")</f>
        <v>0.12747875354107649</v>
      </c>
      <c r="AO17" s="268">
        <f>IF(ISNUMBER((NºAsuntos!C17+NºAsuntos!E17)/NºAsuntos!G17),(NºAsuntos!C17+NºAsuntos!E17)/NºAsuntos!G17," - ")</f>
        <v>2.58356940509915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59</v>
      </c>
      <c r="AB18" s="374">
        <f>IF(ISNUMBER(Datos!R18),Datos!R18," - ")</f>
        <v>2</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0.76388888888888884</v>
      </c>
      <c r="AM18" s="284">
        <f>IF(ISNUMBER(((NºAsuntos!I18/NºAsuntos!G18)*11)/factor_trimestre),((NºAsuntos!I18/NºAsuntos!G18)*11)/factor_trimestre," - ")</f>
        <v>2.1454545454545455</v>
      </c>
      <c r="AN18" s="267">
        <f>IF(ISNUMBER('Resol  Asuntos'!D18/NºAsuntos!G18),'Resol  Asuntos'!D18/NºAsuntos!G18," - ")</f>
        <v>5.4545454545454543E-2</v>
      </c>
      <c r="AO18" s="268">
        <f>IF(ISNUMBER((NºAsuntos!C18+NºAsuntos!E18)/NºAsuntos!G18),(NºAsuntos!C18+NºAsuntos!E18)/NºAsuntos!G18," - ")</f>
        <v>2.0363636363636362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527</v>
      </c>
      <c r="G23" s="1163">
        <f>SUBTOTAL(9,G16:G22)</f>
        <v>563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408</v>
      </c>
      <c r="X23" s="1164">
        <f t="shared" si="14"/>
        <v>8</v>
      </c>
      <c r="Y23" s="1165">
        <f t="shared" si="14"/>
        <v>416</v>
      </c>
      <c r="Z23" s="1165">
        <f t="shared" si="14"/>
        <v>0</v>
      </c>
      <c r="AA23" s="1165">
        <f t="shared" si="14"/>
        <v>622</v>
      </c>
      <c r="AB23" s="1165">
        <f t="shared" si="14"/>
        <v>137</v>
      </c>
      <c r="AC23" s="1165">
        <f t="shared" si="14"/>
        <v>759</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0.88503253796095449</v>
      </c>
      <c r="AM23" s="1171">
        <f>IF(ISNUMBER(((NºAsuntos!I23/NºAsuntos!G23)*11)/factor_trimestre),((NºAsuntos!I23/NºAsuntos!G23)*11)/factor_trimestre," - ")</f>
        <v>3.0490196078431371</v>
      </c>
      <c r="AN23" s="1172">
        <f>IF(ISNUMBER('Resol  Asuntos'!D23/NºAsuntos!G23),'Resol  Asuntos'!D23/NºAsuntos!G23," - ")</f>
        <v>0.11764705882352941</v>
      </c>
      <c r="AO23" s="1173">
        <f>IF(ISNUMBER((NºAsuntos!C23+NºAsuntos!E23)/NºAsuntos!G23),(NºAsuntos!C23+NºAsuntos!E23)/NºAsuntos!G23," - ")</f>
        <v>2.5098039215686274</v>
      </c>
      <c r="AP23" s="1174" t="str">
        <f t="shared" si="2"/>
        <v xml:space="preserve"> - </v>
      </c>
      <c r="AQ23" s="1174">
        <f>IF(ISNUMBER((H23-W23+K23)/(F23)),(H23-W23+K23)/(F23)," - ")</f>
        <v>-0.77419354838709675</v>
      </c>
      <c r="AR23" s="1175">
        <f>IF(ISNUMBER((Datos!P23-Datos!Q23)/(Datos!R23-Datos!P23+Datos!Q23)),(Datos!P23-Datos!Q23)/(Datos!R23-Datos!P23+Datos!Q23)," - ")</f>
        <v>-4.195804195804196E-2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553</v>
      </c>
      <c r="G31" s="1118">
        <f t="shared" si="20"/>
        <v>589</v>
      </c>
      <c r="H31" s="1117">
        <f t="shared" si="20"/>
        <v>0</v>
      </c>
      <c r="I31" s="1119">
        <f t="shared" si="20"/>
        <v>0</v>
      </c>
      <c r="J31" s="1119">
        <f t="shared" si="20"/>
        <v>0</v>
      </c>
      <c r="K31" s="1180">
        <f t="shared" si="20"/>
        <v>0</v>
      </c>
      <c r="L31" s="1119">
        <f t="shared" si="20"/>
        <v>131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414</v>
      </c>
      <c r="X31" s="1118">
        <f t="shared" si="21"/>
        <v>86</v>
      </c>
      <c r="Y31" s="1125">
        <f t="shared" si="21"/>
        <v>500</v>
      </c>
      <c r="Z31" s="1125">
        <f t="shared" si="21"/>
        <v>0</v>
      </c>
      <c r="AA31" s="1125">
        <f t="shared" si="21"/>
        <v>649</v>
      </c>
      <c r="AB31" s="1125">
        <f t="shared" si="21"/>
        <v>2637</v>
      </c>
      <c r="AC31" s="1125">
        <f t="shared" si="21"/>
        <v>786</v>
      </c>
      <c r="AD31" s="1125">
        <f t="shared" si="21"/>
        <v>0</v>
      </c>
      <c r="AE31" s="1127">
        <f t="shared" si="21"/>
        <v>0</v>
      </c>
      <c r="AF31" s="1128">
        <f t="shared" si="21"/>
        <v>0</v>
      </c>
      <c r="AG31" s="1129">
        <f t="shared" si="21"/>
        <v>0</v>
      </c>
      <c r="AH31" s="1127">
        <f t="shared" si="21"/>
        <v>0</v>
      </c>
      <c r="AI31" s="1117">
        <f t="shared" si="21"/>
        <v>152</v>
      </c>
      <c r="AJ31" s="1117">
        <f t="shared" si="21"/>
        <v>0</v>
      </c>
      <c r="AK31" s="1127">
        <f t="shared" si="21"/>
        <v>0</v>
      </c>
      <c r="AL31" s="1183">
        <f>IF(ISNUMBER(NºAsuntos!G31/NºAsuntos!E31),NºAsuntos!G31/NºAsuntos!E31," - ")</f>
        <v>1.015625</v>
      </c>
      <c r="AM31" s="1184">
        <f>IF(ISNUMBER(((NºAsuntos!I31/NºAsuntos!G31)*11)/factor_trimestre),((NºAsuntos!I31/NºAsuntos!G31)*11)/factor_trimestre," - ")</f>
        <v>4.3406593406593403</v>
      </c>
      <c r="AN31" s="1184">
        <f>IF(ISNUMBER('Resol  Asuntos'!D31/NºAsuntos!G31),'Resol  Asuntos'!D31/NºAsuntos!G31," - ")</f>
        <v>0.16703296703296702</v>
      </c>
      <c r="AO31" s="1185">
        <f>IF(ISNUMBER((NºAsuntos!C31+NºAsuntos!E31)/NºAsuntos!G31),(NºAsuntos!C31+NºAsuntos!E31)/NºAsuntos!G31," - ")</f>
        <v>3.1637362637362636</v>
      </c>
      <c r="AP31" s="1186" t="str">
        <f t="shared" si="2"/>
        <v xml:space="preserve"> - </v>
      </c>
      <c r="AQ31" s="1187">
        <f>IF(OR(ISNUMBER(FIND("01",Criterios!A8,1)),ISNUMBER(FIND("02",Criterios!A8,1)),ISNUMBER(FIND("03",Criterios!A8,1)),ISNUMBER(FIND("04",Criterios!A8,1))),(I31-W31+K31)/(F31-K31),(H31-W31+K31)/(F31-K31))</f>
        <v>-0.74864376130198917</v>
      </c>
      <c r="AR31" s="1188">
        <f>IF(ISNUMBER((Datos!P31-Datos!Q31)/(Datos!R31-Datos!P31+Datos!Q31)),(Datos!P31-Datos!Q31)/(Datos!R31-Datos!P31+Datos!Q31)," - ")</f>
        <v>1.7361111111111112E-2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265.68301915377782</v>
      </c>
      <c r="G33" s="277">
        <f>IF(ISNUMBER(STDEV(G8:G30)),STDEV(G8:G30),"-")</f>
        <v>256.64808219668834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180.84497438940559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44.107012723926012</v>
      </c>
      <c r="AJ33" s="276">
        <f t="shared" si="25"/>
        <v>0</v>
      </c>
      <c r="AK33" s="278">
        <f t="shared" si="25"/>
        <v>0</v>
      </c>
      <c r="AL33" s="273">
        <f t="shared" si="25"/>
        <v>0.16396945340071237</v>
      </c>
      <c r="AM33" s="274">
        <f t="shared" si="25"/>
        <v>2.4866094234186957</v>
      </c>
      <c r="AN33" s="274">
        <f t="shared" si="25"/>
        <v>0.22177415324210356</v>
      </c>
      <c r="AO33" s="275">
        <f t="shared" si="25"/>
        <v>1.2540748708970313</v>
      </c>
      <c r="AP33" s="317" t="str">
        <f t="shared" si="25"/>
        <v>-</v>
      </c>
      <c r="AQ33" s="318">
        <f t="shared" si="25"/>
        <v>0.38425902004926521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qMf/6qxp3V5en3jdNPfUuL7VldQduJaau5G99IQZKathqXka4W7L8E5AdKetLKxK3bA2b7G4ZpgFWjqfQoAeA==" saltValue="zJIYglGiUOOTiqx2z9TX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LEBRIJA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0.73333333333333328</v>
      </c>
      <c r="E10" s="393">
        <f>IF(ISNUMBER((Datos!J10-Datos!T10)/Datos!T10),(Datos!J10-Datos!T10)/Datos!T10," - ")</f>
        <v>6</v>
      </c>
      <c r="F10" s="393">
        <f>IF(ISNUMBER((Datos!K10-Datos!U10)/Datos!U10),(Datos!K10-Datos!U10)/Datos!U10," - ")</f>
        <v>0.2</v>
      </c>
      <c r="G10" s="394">
        <f>IF(ISNUMBER((Datos!L10-Datos!V10)/Datos!V10),(Datos!L10-Datos!V10)/Datos!V10," - ")</f>
        <v>1.4545454545454546</v>
      </c>
      <c r="H10" s="244" t="str">
        <f>IF(ISNUMBER((Datos!M10-Datos!W10)/Datos!W10),(Datos!M10-Datos!W10)/Datos!W10," - ")</f>
        <v xml:space="preserve"> - </v>
      </c>
      <c r="I10" s="395">
        <f>IF(ISNUMBER((Tasas!C10-Datos!BE10)/Datos!BE10),(Tasas!C10-Datos!BE10)/Datos!BE10," - ")</f>
        <v>1.0454545454545452</v>
      </c>
      <c r="J10" s="394" t="str">
        <f>IF(ISNUMBER((Tasas!D10-Datos!BF10)/Datos!BF10),(Tasas!D10-Datos!BF10)/Datos!BF10," - ")</f>
        <v xml:space="preserve"> - </v>
      </c>
      <c r="K10" s="396">
        <f>IF(ISNUMBER((Tasas!E10-Datos!BG10)/Datos!BG10),(Tasas!E10-Datos!BG10)/Datos!BG10," - ")</f>
        <v>0.71874999999999989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0.47058823529411764</v>
      </c>
      <c r="I12" s="395">
        <f>IF(ISNUMBER((Tasas!C12-Datos!BE12)/Datos!BE12),(Tasas!C12-Datos!BE12)/Datos!BE12," - ")</f>
        <v>-0.42769713261648745</v>
      </c>
      <c r="J12" s="394">
        <f>IF(ISNUMBER((Tasas!D12-Datos!BF12)/Datos!BF12),(Tasas!D12-Datos!BF12)/Datos!BF12," - ")</f>
        <v>-0.28943745082612127</v>
      </c>
      <c r="K12" s="396">
        <f>IF(ISNUMBER((Tasas!E12-Datos!BG12)/Datos!BG12),(Tasas!E12-Datos!BG12)/Datos!BG12," - ")</f>
        <v>-0.35228256804896774</v>
      </c>
      <c r="M12" t="e">
        <f>IF(Monitorios="SI",Datos!CE12,0)</f>
        <v>#REF!</v>
      </c>
      <c r="N12" t="e">
        <f>IF(Monitorios="SI",Datos!CF12,0)</f>
        <v>#REF!</v>
      </c>
      <c r="O12" t="e">
        <f>IF(Monitorios="SI",Datos!CG12,0)</f>
        <v>#REF!</v>
      </c>
      <c r="P12" t="e">
        <f>IF(Monitorios="SI",Datos!CH12,0)</f>
        <v>#REF!</v>
      </c>
      <c r="Q12">
        <f>IF(J_V="SI",0,Datos!AG12)</f>
        <v>52</v>
      </c>
      <c r="R12">
        <f>IF(J_V="SI",0,Datos!AH12)</f>
        <v>40</v>
      </c>
      <c r="S12">
        <f>IF(J_V="SI",0,Datos!AI12)</f>
        <v>20</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0.52941176470588236</v>
      </c>
      <c r="I14" s="402">
        <f>IF(ISNUMBER((Tasas!C14-Datos!BE14)/Datos!BE14),(Tasas!C14-Datos!BE14)/Datos!BE14," - ")</f>
        <v>-0.41778514157916463</v>
      </c>
      <c r="J14" s="400">
        <f>IF(ISNUMBER((Tasas!D14-Datos!BF14)/Datos!BF14),(Tasas!D14-Datos!BF14)/Datos!BF14," - ")</f>
        <v>-0.25721504226994452</v>
      </c>
      <c r="K14" s="403">
        <f>IF(ISNUMBER((Tasas!E14-Datos!BG14)/Datos!BG14),(Tasas!E14-Datos!BG14)/Datos!BG14," - ")</f>
        <v>-0.34356832488776018</v>
      </c>
      <c r="M14" t="e">
        <f>IF(Monitorios="SI",Datos!CE14,0)</f>
        <v>#REF!</v>
      </c>
      <c r="N14" t="e">
        <f>IF(Monitorios="SI",Datos!CF14,0)</f>
        <v>#REF!</v>
      </c>
      <c r="O14" t="e">
        <f>IF(Monitorios="SI",Datos!CG14,0)</f>
        <v>#REF!</v>
      </c>
      <c r="P14" t="e">
        <f>IF(Monitorios="SI",Datos!CH14,0)</f>
        <v>#REF!</v>
      </c>
      <c r="Q14">
        <f>IF(J_V="SI",0,Datos!AG14)</f>
        <v>52</v>
      </c>
      <c r="R14">
        <f>IF(J_V="SI",0,Datos!AH14)</f>
        <v>40</v>
      </c>
      <c r="S14">
        <f>IF(J_V="SI",0,Datos!AI14)</f>
        <v>20</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4.5999999999999999E-2</v>
      </c>
      <c r="E17" s="393">
        <f>IF(ISNUMBER(
   IF(D_I="SI",(Datos!J17-Datos!T17)/Datos!T17,(Datos!J17+Datos!AD17-(Datos!T17+Datos!AL17))/(Datos!T17+Datos!AL17))
     ),IF(D_I="SI",(Datos!J17-Datos!T17)/Datos!T17,(Datos!J17+Datos!AD17-(Datos!T17+Datos!AL17))/(Datos!T17+Datos!AL17))," - ")</f>
        <v>-9.5348837209302331E-2</v>
      </c>
      <c r="F17" s="393">
        <f>IF(ISNUMBER(
   IF(D_I="SI",(Datos!K17-Datos!U17)/Datos!U17,(Datos!K17+Datos!AE17-(Datos!U17+Datos!AM17))/(Datos!U17+Datos!AM17))
     ),IF(D_I="SI",(Datos!K17-Datos!U17)/Datos!U17,(Datos!K17+Datos!AE17-(Datos!U17+Datos!AM17))/(Datos!U17+Datos!AM17))," - ")</f>
        <v>-0.10406091370558376</v>
      </c>
      <c r="G17" s="394">
        <f>IF(ISNUMBER(
   IF(D_I="SI",(Datos!L17-Datos!V17)/Datos!V17,(Datos!L17+Datos!AF17-(Datos!V17+Datos!AN17))/(Datos!V17+Datos!AN17))
     ),IF(D_I="SI",(Datos!L17-Datos!V17)/Datos!V17,(Datos!L17+Datos!AF17-(Datos!V17+Datos!AN17))/(Datos!V17+Datos!AN17))," - ")</f>
        <v>4.8417132216014895E-2</v>
      </c>
      <c r="H17" s="244">
        <f>IF(ISNUMBER((Datos!M17-Datos!W17)/Datos!W17),(Datos!M17-Datos!W17)/Datos!W17," - ")</f>
        <v>0.21621621621621623</v>
      </c>
      <c r="I17" s="395">
        <f>IF(ISNUMBER((Tasas!C17-Datos!BE17)/Datos!BE17),(Tasas!C17-Datos!BE17)/Datos!BE17," - ")</f>
        <v>0.1701879606037108</v>
      </c>
      <c r="J17" s="394">
        <f>IF(ISNUMBER((Tasas!D17-Datos!BF17)/Datos!BF17),(Tasas!D17-Datos!BF17)/Datos!BF17," - ")</f>
        <v>0.35747645662659822</v>
      </c>
      <c r="K17" s="396">
        <f>IF(ISNUMBER((Tasas!E17-Datos!BG17)/Datos!BG17),(Tasas!E17-Datos!BG17)/Datos!BG17," - ")</f>
        <v>9.4544457644155991E-2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-2.4390243902439025E-2</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5.7692307692307696E-2</v>
      </c>
      <c r="G18" s="394">
        <f>IF(ISNUMBER(
   IF(D_I="SI",(Datos!L18-Datos!V18)/Datos!V18,(Datos!L18+Datos!AF18-(Datos!V18+Datos!AN18))/(Datos!V18+Datos!AN18))
     ),IF(D_I="SI",(Datos!L18-Datos!V18)/Datos!V18,(Datos!L18+Datos!AF18-(Datos!V18+Datos!AN18))/(Datos!V18+Datos!AN18))," - ")</f>
        <v>0.31111111111111112</v>
      </c>
      <c r="H18" s="244">
        <f>IF(ISNUMBER((Datos!M18-Datos!W18)/Datos!W18),(Datos!M18-Datos!W18)/Datos!W18," - ")</f>
        <v>2</v>
      </c>
      <c r="I18" s="395">
        <f>IF(ISNUMBER((Tasas!C18-Datos!BE18)/Datos!BE18),(Tasas!C18-Datos!BE18)/Datos!BE18," - ")</f>
        <v>0.23959595959595958</v>
      </c>
      <c r="J18" s="394">
        <f>IF(ISNUMBER((Tasas!D18-Datos!BF18)/Datos!BF18),(Tasas!D18-Datos!BF18)/Datos!BF18," - ")</f>
        <v>1.836363636363636</v>
      </c>
      <c r="K18" s="396">
        <f>IF(ISNUMBER((Tasas!E18-Datos!BG18)/Datos!BG18),(Tasas!E18-Datos!BG18)/Datos!BG18," - ")</f>
        <v>9.1658856607310088E-2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4.0665434380776341E-2</v>
      </c>
      <c r="E23" s="399">
        <f>IF(ISNUMBER(
   IF(D_I="SI",(Datos!J23-Datos!T23)/Datos!T23,(Datos!J23+Datos!AD23-(Datos!T23+Datos!AL23))/(Datos!T23+Datos!AL23))
     ),IF(D_I="SI",(Datos!J23-Datos!T23)/Datos!T23,(Datos!J23+Datos!AD23-(Datos!T23+Datos!AL23))/(Datos!T23+Datos!AL23))," - ")</f>
        <v>-5.1440329218106998E-2</v>
      </c>
      <c r="F23" s="399">
        <f>IF(ISNUMBER(
   IF(D_I="SI",(Datos!K23-Datos!U23)/Datos!U23,(Datos!K23+Datos!AE23-(Datos!U23+Datos!AM23))/(Datos!U23+Datos!AM23))
     ),IF(D_I="SI",(Datos!K23-Datos!U23)/Datos!U23,(Datos!K23+Datos!AE23-(Datos!U23+Datos!AM23))/(Datos!U23+Datos!AM23))," - ")</f>
        <v>-8.520179372197309E-2</v>
      </c>
      <c r="G23" s="400">
        <f>IF(ISNUMBER(
   IF(D_I="SI",(Datos!L23-Datos!V23)/Datos!V23,(Datos!L23+Datos!AF23-(Datos!V23+Datos!AN23))/(Datos!V23+Datos!AN23))
     ),IF(D_I="SI",(Datos!L23-Datos!V23)/Datos!V23,(Datos!L23+Datos!AF23-(Datos!V23+Datos!AN23))/(Datos!V23+Datos!AN23))," - ")</f>
        <v>6.8728522336769765E-2</v>
      </c>
      <c r="H23" s="401">
        <f>IF(ISNUMBER((Datos!M23-Datos!W23)/Datos!W23),(Datos!M23-Datos!W23)/Datos!W23," - ")</f>
        <v>0.26315789473684209</v>
      </c>
      <c r="I23" s="402">
        <f>IF(ISNUMBER((Tasas!C23-Datos!BE23)/Datos!BE23),(Tasas!C23-Datos!BE23)/Datos!BE23," - ")</f>
        <v>0.1682669631426453</v>
      </c>
      <c r="J23" s="400">
        <f>IF(ISNUMBER((Tasas!D23-Datos!BF23)/Datos!BF23),(Tasas!D23-Datos!BF23)/Datos!BF23," - ")</f>
        <v>0.38080495356037158</v>
      </c>
      <c r="K23" s="403">
        <f>IF(ISNUMBER((Tasas!E23-Datos!BG23)/Datos!BG23),(Tasas!E23-Datos!BG23)/Datos!BG23," - ")</f>
        <v>8.9944059415392297E-2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5.6473095364944062E-2</v>
      </c>
      <c r="E31" s="409">
        <f>IF(ISNUMBER(
   IF(J_V="SI",(Datos!J31-Datos!T31)/Datos!T31,(Datos!J31+Datos!Z31-(Datos!T31+Datos!AH31))/(Datos!T31+Datos!AH31))
     ),IF(J_V="SI",(Datos!J31-Datos!T31)/Datos!T31,(Datos!J31+Datos!Z31-(Datos!T31+Datos!AH31))/(Datos!T31+Datos!AH31))," - ")</f>
        <v>0.11304347826086956</v>
      </c>
      <c r="F31" s="409">
        <f>IF(ISNUMBER(
   IF(J_V="SI",(Datos!K31-Datos!U31)/Datos!U31,(Datos!K31+Datos!AA31-(Datos!U31+Datos!AI31))/(Datos!U31+Datos!AI31))
     ),IF(J_V="SI",(Datos!K31-Datos!U31)/Datos!U31,(Datos!K31+Datos!AA31-(Datos!U31+Datos!AI31))/(Datos!U31+Datos!AI31))," - ")</f>
        <v>0.22972972972972974</v>
      </c>
      <c r="G31" s="410">
        <f>IF(ISNUMBER(
   IF(J_V="SI",(Datos!L31-Datos!V31)/Datos!V31,(Datos!L31+Datos!AB31-(Datos!V31+Datos!AJ31))/(Datos!V31+Datos!AJ31))
     ),IF(J_V="SI",(Datos!L31-Datos!V31)/Datos!V31,(Datos!L31+Datos!AB31-(Datos!V31+Datos!AJ31))/(Datos!V31+Datos!AJ31))," - ")</f>
        <v>1.6469377251672673E-2</v>
      </c>
      <c r="H31" s="411">
        <f>IF(ISNUMBER((Datos!M31-Datos!W31)/Datos!W31),(Datos!M31-Datos!W31)/Datos!W31," - ")</f>
        <v>0.43396226415094341</v>
      </c>
      <c r="I31" s="408">
        <f>IF(ISNUMBER((Tasas!C31-Datos!BE31)/Datos!BE31),(Tasas!C31-Datos!BE31)/Datos!BE31," - ")</f>
        <v>-0.17342050641072776</v>
      </c>
      <c r="J31" s="409">
        <f>IF(ISNUMBER((Tasas!D31-Datos!BF31)/Datos!BF31),(Tasas!D31-Datos!BF31)/Datos!BF31," - ")</f>
        <v>3.0036630036629916E-2</v>
      </c>
      <c r="K31" s="410">
        <f>IF(ISNUMBER((Tasas!E31-Datos!BG31)/Datos!BG31),(Tasas!E31-Datos!BG31)/Datos!BG31," - ")</f>
        <v>-0.12708246265293249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0.35772154372655507</v>
      </c>
      <c r="E33" s="303">
        <f t="shared" si="1"/>
        <v>2.9817092277325106</v>
      </c>
      <c r="F33" s="303">
        <f t="shared" si="1"/>
        <v>0.14171070205815806</v>
      </c>
      <c r="G33" s="304">
        <f t="shared" si="1"/>
        <v>0.66666442862056097</v>
      </c>
      <c r="H33" s="310">
        <f t="shared" si="1"/>
        <v>0.74103353377720627</v>
      </c>
      <c r="I33" s="302">
        <f t="shared" si="1"/>
        <v>0.54115464213895992</v>
      </c>
      <c r="J33" s="303">
        <f t="shared" si="1"/>
        <v>0.86203481530538273</v>
      </c>
      <c r="K33" s="304">
        <f t="shared" si="1"/>
        <v>0.39224199132705928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BQculF70M2GUFyD7Vvb99T0O/udz2alIZd2+MXm3fiQ+eRI67DpA/M12SVtfp3sIRDfh1OOTh3T3lT2KmUzyw==" saltValue="JKmYuQdVBaLWSopVk6AR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